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BDgnaDVahgehh3x9gHn2Jqp742dAvCUzxJiiijhwBD4f2f/ctdtHqs/WO5+yZ3dkTpSYPKktpLHZW0hKDL/LPA==" workbookSaltValue="ExZCmH33Kjrutmagea1s8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6" i="13"/>
  <c r="BE15" i="13"/>
  <c r="AX20" i="20"/>
  <c r="B18" i="7" l="1"/>
  <c r="S19" i="8"/>
  <c r="BG10" i="8"/>
  <c r="X12" i="21"/>
  <c r="BH11" i="16"/>
  <c r="BM16" i="11"/>
  <c r="BF10" i="11"/>
  <c r="BM12" i="11"/>
  <c r="BJ12" i="11"/>
  <c r="BK17" i="11"/>
  <c r="BU11" i="17"/>
  <c r="BW12" i="20"/>
  <c r="BW10" i="20"/>
  <c r="BG12" i="11"/>
  <c r="AQ10" i="21"/>
  <c r="BM17" i="11"/>
  <c r="BJ16" i="11"/>
  <c r="U9" i="17"/>
  <c r="U19" i="17" s="1"/>
  <c r="V9" i="16"/>
  <c r="BH17" i="16"/>
  <c r="V11" i="11"/>
  <c r="BG15" i="11"/>
  <c r="BU10" i="17"/>
  <c r="BW11" i="20"/>
  <c r="BU16" i="17"/>
  <c r="AZ12" i="11"/>
  <c r="BH10" i="16"/>
  <c r="L16" i="2"/>
  <c r="BL17" i="11"/>
  <c r="BI15" i="11"/>
  <c r="AP17" i="20"/>
  <c r="BH10" i="11"/>
  <c r="BH16" i="11"/>
  <c r="AB13" i="21"/>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<sst xmlns="http://schemas.openxmlformats.org/spreadsheetml/2006/main" count="2102" uniqueCount="918">
  <si>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</si>
  <si>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</si>
  <si>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</si>
  <si>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</si>
  <si>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</si>
  <si>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</si>
  <si>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</si>
  <si>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</si>
  <si>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</si>
  <si>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</si>
  <si>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</si>
  <si>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</si>
  <si>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</si>
  <si>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</si>
  <si>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</si>
  <si>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</si>
  <si>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</si>
  <si>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</si>
  <si>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</si>
  <si>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</si>
  <si>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</si>
  <si>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</si>
  <si>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</si>
  <si>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</si>
  <si>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</si>
  <si>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</si>
  <si>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</si>
  <si>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</si>
  <si>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</si>
  <si>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</si>
  <si>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</si>
  <si>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</si>
  <si>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</si>
  <si>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</si>
  <si>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</si>
  <si>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</si>
  <si>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</si>
  <si>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</si>
  <si>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</si>
  <si>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</si>
  <si>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</si>
  <si>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</si>
  <si>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</si>
  <si>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</si>
  <si>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</si>
  <si>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</si>
  <si>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</si>
  <si>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</si>
  <si>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</si>
  <si>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</si>
  <si>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</si>
  <si>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</si>
  <si>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</si>
  <si>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</si>
  <si>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</si>
  <si>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</si>
  <si>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</si>
  <si>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</si>
  <si>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</si>
  <si>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</si>
  <si>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</si>
  <si>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</si>
  <si>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</si>
  <si>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</si>
  <si>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</si>
  <si>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</si>
  <si>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</si>
  <si>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</si>
  <si>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</si>
  <si>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</si>
  <si>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</si>
  <si>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</si>
  <si>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</si>
  <si>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</si>
  <si>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</si>
  <si>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</si>
  <si>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</si>
  <si>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</si>
  <si>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</si>
  <si>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</si>
  <si>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</si>
  <si>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</si>
  <si>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</si>
  <si>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</si>
  <si>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</si>
  <si>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</si>
  <si>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</si>
  <si>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</si>
  <si>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</si>
  <si>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</si>
  <si>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</si>
  <si>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</si>
  <si>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</si>
  <si>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</si>
  <si>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</si>
  <si>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</si>
  <si>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</si>
  <si>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</si>
  <si>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</si>
  <si>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</si>
  <si>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</si>
  <si>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</si>
  <si>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</si>
  <si>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</si>
  <si>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</si>
  <si>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</si>
  <si>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</si>
  <si>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</si>
  <si>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</si>
  <si>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</si>
  <si>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</si>
  <si>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</si>
  <si>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</si>
  <si>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</si>
  <si>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</si>
  <si>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</si>
  <si>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</si>
  <si>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</si>
  <si>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</si>
  <si>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</si>
  <si>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</si>
  <si>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</si>
  <si>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</si>
  <si>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</si>
  <si>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</si>
  <si>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</si>
  <si>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</si>
  <si>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</si>
  <si>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</si>
  <si>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</si>
  <si>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</si>
  <si>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</si>
  <si>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</si>
  <si>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</si>
  <si>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</si>
  <si>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</si>
  <si>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</si>
  <si>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</si>
  <si>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</si>
  <si>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</si>
  <si>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</si>
  <si>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</si>
  <si>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</si>
  <si>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</si>
  <si>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</si>
  <si>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</si>
  <si>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</si>
  <si>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</si>
  <si>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</si>
  <si>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</si>
  <si>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</si>
  <si>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</si>
  <si>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</si>
  <si>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</si>
  <si>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</si>
  <si>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</si>
  <si>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</si>
  <si>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</si>
  <si>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</si>
  <si>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</si>
  <si>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</si>
  <si>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</si>
  <si>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</si>
  <si>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</si>
  <si>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</si>
  <si>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</si>
  <si>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</si>
  <si>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</si>
  <si>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</si>
  <si>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</si>
  <si>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</si>
  <si>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</si>
  <si>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</si>
  <si>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</si>
  <si>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</si>
  <si>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</si>
  <si>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</si>
  <si>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</si>
  <si>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</si>
  <si>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</si>
  <si>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</si>
  <si>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</si>
  <si>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</si>
  <si>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</si>
  <si>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</si>
  <si>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</si>
  <si>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</si>
  <si>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</si>
  <si>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</si>
  <si>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</si>
  <si>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</si>
  <si>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</si>
  <si>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</si>
  <si>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</si>
  <si>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</si>
  <si>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</si>
  <si>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</si>
  <si>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</si>
  <si>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</si>
  <si>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</si>
  <si>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</si>
  <si>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</si>
  <si>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</si>
  <si>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</si>
  <si>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</si>
  <si>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</si>
  <si>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</si>
  <si>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</si>
  <si>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</si>
  <si>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</si>
  <si>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</si>
  <si>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</si>
  <si>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</si>
  <si>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</si>
  <si>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</si>
  <si>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</si>
  <si>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</si>
  <si>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</si>
  <si>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</si>
  <si>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</si>
  <si>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</si>
  <si>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</si>
  <si>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</si>
  <si>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</si>
  <si>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</si>
  <si>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</si>
  <si>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</si>
  <si>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</si>
  <si>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</si>
  <si>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</si>
  <si>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</si>
  <si>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</si>
  <si>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</si>
  <si>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</si>
  <si>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</si>
  <si>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</si>
  <si>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</si>
  <si>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</si>
  <si>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</si>
  <si>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</si>
  <si>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</si>
  <si>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</si>
  <si>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</si>
  <si>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</si>
  <si>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</si>
  <si>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</si>
  <si>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</si>
  <si>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</si>
  <si>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</si>
  <si>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</si>
  <si>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</si>
  <si>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</si>
  <si>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</si>
  <si>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</si>
  <si>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</si>
  <si>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</si>
  <si>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</si>
  <si>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</si>
  <si>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</si>
  <si>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</si>
  <si>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</si>
  <si>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</si>
  <si>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</si>
  <si>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</si>
  <si>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</si>
  <si>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</si>
  <si>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</si>
  <si>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</si>
  <si>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</si>
  <si>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</si>
  <si>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</si>
  <si>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</si>
  <si>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</si>
  <si>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</si>
  <si>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</si>
  <si>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</si>
  <si>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</si>
  <si>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</si>
  <si>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</si>
  <si>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</si>
  <si>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</si>
  <si>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</si>
  <si>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</si>
  <si>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</si>
  <si>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</si>
  <si>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</si>
  <si>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</si>
  <si>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</si>
  <si>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</si>
  <si>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</si>
  <si>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</si>
  <si>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</si>
  <si>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</si>
  <si>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</si>
  <si>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</si>
  <si>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</si>
  <si>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</si>
  <si>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</si>
  <si>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</si>
  <si>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</si>
  <si>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</si>
  <si>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</si>
  <si>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</si>
  <si>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</si>
  <si>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</si>
  <si>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</si>
  <si>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</si>
  <si>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</si>
  <si>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</si>
  <si>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</si>
  <si>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</si>
  <si>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</si>
  <si>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</si>
  <si>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</si>
  <si>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</si>
  <si>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</si>
  <si>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</si>
  <si>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</si>
  <si>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</si>
  <si>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</si>
  <si>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</si>
  <si>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</si>
  <si>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</si>
  <si>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</si>
  <si>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</si>
  <si>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</si>
  <si>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</si>
  <si>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</si>
  <si>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</si>
  <si>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</si>
  <si>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</si>
  <si>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</si>
  <si>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</si>
  <si>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</si>
  <si>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</si>
  <si>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</si>
  <si>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</si>
  <si>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</si>
  <si>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</si>
  <si>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</si>
  <si>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</si>
  <si>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</si>
  <si>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</si>
  <si>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</si>
  <si>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</si>
  <si>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</si>
  <si>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</si>
  <si>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</si>
  <si>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</si>
  <si>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</si>
  <si>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</si>
  <si>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</si>
  <si>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</si>
  <si>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</si>
  <si>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</si>
  <si>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</si>
  <si>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</si>
  <si>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</si>
  <si>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</si>
  <si>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</si>
  <si>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</si>
  <si>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</si>
  <si>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</si>
  <si>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</si>
  <si>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</si>
  <si>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</si>
  <si>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</si>
  <si>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</si>
  <si>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</si>
  <si>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</si>
  <si>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</si>
  <si>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</si>
  <si>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</si>
  <si>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</si>
  <si>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</si>
  <si>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</si>
  <si>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</si>
  <si>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</si>
  <si>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</si>
  <si>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</si>
  <si>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</si>
  <si>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</si>
  <si>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</si>
  <si>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</si>
  <si>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</si>
  <si>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</si>
  <si>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</si>
  <si>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</si>
  <si>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</si>
  <si>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</si>
  <si>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</si>
  <si>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</si>
  <si>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</si>
  <si>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</si>
  <si>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</si>
  <si>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</si>
  <si>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</si>
  <si>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</si>
  <si>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</si>
  <si>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</si>
  <si>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</si>
  <si>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</si>
  <si>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</si>
  <si>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</si>
  <si>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</si>
  <si>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</si>
  <si>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</si>
  <si>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</si>
  <si>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</si>
  <si>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</si>
  <si>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</si>
  <si>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</si>
  <si>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</si>
  <si>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</si>
  <si>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</si>
  <si>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</si>
  <si>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</si>
  <si>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</si>
  <si>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</si>
  <si>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</si>
  <si>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</si>
  <si>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</si>
  <si>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</si>
  <si>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</si>
  <si>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</si>
  <si>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</si>
  <si>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</si>
  <si>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</si>
  <si>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</si>
  <si>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</si>
  <si>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</si>
  <si>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</si>
  <si>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</si>
  <si>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</si>
  <si>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</si>
  <si>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</si>
  <si>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</si>
  <si>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</si>
  <si>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</si>
  <si>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</si>
  <si>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</si>
  <si>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</si>
  <si>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</si>
  <si>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</si>
  <si>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</si>
  <si>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</si>
  <si>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</si>
  <si>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</si>
  <si>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</si>
  <si>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</si>
  <si>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</si>
  <si>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</si>
  <si>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</si>
  <si>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</si>
  <si>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</si>
  <si>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</si>
  <si>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</si>
  <si>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</si>
  <si>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</si>
  <si>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</si>
  <si>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</si>
  <si>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</si>
  <si>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</si>
  <si>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</si>
  <si>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</si>
  <si>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</si>
  <si>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</si>
  <si>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</si>
  <si>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</si>
  <si>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</si>
  <si>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</si>
  <si>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</si>
  <si>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</si>
  <si>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</si>
  <si>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</si>
  <si>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</si>
  <si>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</si>
  <si>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</si>
  <si>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</si>
  <si>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</si>
  <si>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</si>
  <si>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</si>
  <si>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</si>
  <si>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</si>
  <si>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</si>
  <si>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</si>
  <si>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</si>
  <si>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</si>
  <si>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</si>
  <si>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</si>
  <si>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</si>
  <si>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</si>
  <si>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</si>
  <si>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</si>
  <si>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</si>
  <si>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</si>
  <si>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</si>
  <si>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</si>
  <si>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</si>
  <si>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</si>
  <si>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</si>
  <si>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</si>
  <si>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</si>
  <si>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</si>
  <si>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</si>
  <si>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</si>
  <si>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</si>
  <si>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</si>
  <si>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</si>
  <si>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</si>
  <si>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</si>
  <si>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</si>
  <si>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</si>
  <si>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</si>
  <si>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</si>
  <si>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</si>
  <si>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</si>
  <si>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</si>
  <si>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</si>
  <si>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</si>
  <si>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</si>
  <si>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</si>
  <si>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</si>
  <si>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</si>
  <si>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</si>
  <si>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</si>
  <si>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</si>
  <si>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</si>
  <si>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</si>
  <si>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</si>
  <si>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</si>
  <si>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</si>
  <si>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</si>
  <si>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</si>
  <si>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</si>
  <si>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</si>
  <si>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</si>
  <si>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</si>
  <si>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</si>
  <si>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</si>
  <si>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</si>
  <si>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</si>
  <si>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</si>
  <si>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</si>
  <si>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</si>
  <si>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</si>
  <si>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</si>
  <si>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</si>
  <si>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</si>
  <si>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</si>
  <si>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</si>
  <si>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</si>
  <si>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</si>
  <si>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</si>
  <si>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</si>
  <si>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</si>
  <si>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</si>
  <si>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</si>
  <si>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</si>
  <si>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</si>
  <si>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</si>
  <si>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</si>
  <si>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</si>
  <si>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</si>
  <si>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</si>
  <si>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</si>
  <si>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</si>
  <si>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</si>
  <si>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</si>
  <si>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</si>
  <si>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</si>
  <si>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</si>
  <si>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</si>
  <si>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</si>
  <si>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</si>
  <si>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</si>
  <si>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</si>
  <si>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</si>
  <si>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</si>
  <si>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</si>
  <si>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</si>
  <si>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</si>
  <si>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</si>
  <si>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</si>
  <si>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</si>
  <si>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</si>
  <si>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</si>
  <si>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</si>
  <si>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</si>
  <si>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</si>
  <si>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</si>
  <si>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</si>
  <si>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</si>
  <si>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</si>
  <si>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</si>
  <si>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</si>
  <si>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</si>
  <si>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</si>
  <si>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</si>
  <si>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</si>
  <si>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</si>
  <si>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</si>
  <si>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</si>
  <si>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</si>
  <si>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</si>
  <si>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</si>
  <si>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</si>
  <si>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</si>
  <si>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</si>
  <si>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</si>
  <si>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</si>
  <si>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</si>
  <si>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</si>
  <si>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</si>
  <si>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</si>
  <si>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</si>
  <si>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</si>
  <si>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</si>
  <si>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</si>
  <si>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</si>
  <si>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</si>
  <si>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</si>
  <si>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</si>
  <si>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</si>
  <si>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</si>
  <si>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</si>
  <si>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</si>
  <si>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</si>
  <si>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</si>
  <si>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</si>
  <si>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</si>
  <si>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</si>
  <si>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</si>
  <si>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</si>
  <si>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</si>
  <si>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</si>
  <si>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</si>
  <si>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</si>
  <si>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</si>
  <si>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</si>
  <si>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</si>
  <si>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</si>
  <si>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</si>
  <si>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</si>
  <si>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</si>
  <si>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</si>
  <si>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</si>
  <si>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</si>
  <si>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</si>
  <si>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</si>
  <si>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</si>
  <si>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</si>
  <si>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</si>
  <si>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</si>
  <si>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</si>
  <si>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</si>
  <si>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</si>
  <si>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</si>
  <si>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</si>
  <si>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</si>
  <si>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</si>
  <si>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</si>
  <si>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</si>
  <si>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</si>
  <si>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</si>
  <si>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</si>
  <si>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</si>
  <si>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</si>
  <si>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</si>
  <si>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</si>
  <si>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</si>
  <si>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</si>
  <si>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</si>
  <si>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</si>
  <si>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</si>
  <si>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</si>
  <si>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</si>
  <si>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</si>
  <si>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</si>
  <si>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</si>
  <si>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</si>
  <si>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</si>
  <si>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</si>
  <si>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</si>
  <si>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</si>
  <si>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</si>
  <si>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</si>
  <si>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</si>
  <si>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</si>
  <si>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</si>
  <si>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</si>
  <si>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</si>
  <si>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</si>
  <si>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</si>
  <si>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</si>
  <si>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</si>
  <si>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</si>
  <si>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</si>
  <si>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</si>
  <si>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</si>
  <si>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</si>
  <si>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</si>
  <si>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</si>
  <si>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</si>
  <si>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</si>
  <si>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</si>
  <si>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</si>
  <si>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</si>
  <si>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</si>
  <si>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</si>
  <si>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</si>
  <si>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</si>
  <si>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</si>
  <si>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</si>
  <si>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</si>
  <si>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</si>
  <si>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</si>
  <si>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</si>
  <si>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</si>
  <si>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</si>
  <si>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</si>
  <si>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</si>
  <si>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</si>
  <si>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</si>
  <si>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</si>
  <si>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</si>
  <si>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</si>
  <si>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</si>
  <si>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</si>
  <si>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</si>
  <si>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</si>
  <si>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</si>
  <si>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</si>
  <si>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</si>
  <si>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</si>
  <si>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</si>
  <si>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</si>
  <si>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</si>
  <si>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</si>
  <si>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</si>
  <si>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</si>
  <si>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</si>
  <si>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</si>
  <si>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</si>
  <si>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</si>
  <si>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</si>
  <si>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</si>
  <si>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</si>
  <si>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</si>
  <si>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</si>
  <si>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</si>
  <si>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</si>
  <si>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</si>
  <si>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</si>
  <si>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</si>
  <si>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</si>
  <si>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</si>
  <si>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</si>
  <si>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</si>
  <si>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</si>
  <si>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</si>
  <si>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</si>
  <si>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</si>
  <si>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</si>
  <si>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</si>
  <si>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</si>
  <si>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</si>
  <si>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</si>
  <si>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</si>
  <si>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</si>
  <si>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</si>
  <si>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</si>
  <si>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</si>
  <si>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</si>
  <si>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</si>
  <si>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</si>
  <si>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</si>
  <si>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</si>
  <si>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</si>
  <si>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</si>
  <si>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</si>
  <si>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</si>
  <si>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</si>
  <si>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</si>
  <si>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</si>
  <si>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</si>
  <si>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</si>
  <si>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</si>
  <si>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</si>
  <si>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</si>
  <si>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</si>
  <si>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</si>
  <si>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</si>
  <si>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</si>
  <si>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</si>
  <si>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</si>
  <si>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</si>
  <si>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</si>
  <si>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</si>
  <si>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</si>
  <si>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</si>
  <si>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</si>
  <si>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</si>
  <si>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</si>
  <si>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</si>
  <si>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</si>
  <si>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</si>
  <si>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</si>
  <si>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</si>
  <si>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</si>
  <si>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</si>
  <si>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</si>
  <si>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</si>
  <si>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</si>
  <si>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</si>
  <si>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</si>
  <si>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</si>
  <si>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</si>
  <si>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</si>
  <si>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</si>
  <si>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</si>
  <si>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</si>
  <si>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</si>
  <si>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</si>
  <si>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</si>
  <si>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</si>
  <si>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</si>
  <si>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</si>
  <si>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</si>
  <si>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</si>
  <si>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</si>
  <si>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</si>
  <si>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</si>
  <si>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</si>
  <si>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</si>
  <si>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</si>
  <si>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</si>
  <si>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</si>
  <si>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</si>
  <si>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</si>
  <si>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</si>
  <si>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</si>
  <si>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</si>
  <si>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</si>
  <si>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</si>
  <si>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</si>
  <si>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</si>
  <si>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</si>
  <si>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</si>
  <si>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</si>
  <si>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</si>
  <si>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</si>
  <si>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</si>
  <si>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</si>
  <si>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</si>
  <si>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</si>
  <si>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</si>
  <si>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</si>
  <si>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</si>
  <si>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</si>
  <si>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</si>
  <si>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</si>
  <si>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</si>
  <si>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</si>
  <si>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</si>
  <si>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</si>
  <si>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</si>
  <si>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</si>
  <si>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</si>
  <si>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</si>
  <si>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</si>
  <si>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</si>
  <si>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</si>
  <si>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</si>
  <si>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</si>
  <si>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</si>
  <si>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</si>
  <si>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</si>
  <si>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</si>
  <si>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</si>
  <si>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</si>
  <si>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</si>
  <si>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</si>
  <si>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</si>
  <si>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</si>
  <si>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</si>
  <si>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</si>
  <si>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</si>
  <si>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</si>
  <si>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</si>
  <si>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</si>
  <si>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</si>
  <si>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</si>
  <si>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</si>
  <si>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</si>
  <si>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</si>
  <si>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</si>
  <si>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</si>
  <si>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</si>
  <si>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</si>
  <si>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</si>
  <si>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</si>
  <si>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</si>
  <si>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</si>
  <si>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</si>
  <si>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</si>
  <si>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</si>
  <si>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</si>
  <si>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</si>
  <si>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</si>
  <si>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</si>
  <si>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</si>
  <si>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</si>
  <si>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</si>
  <si>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</si>
  <si>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GIPUZKOA</t>
  </si>
  <si>
    <t>Resumenes por Partidos Judiciales</t>
  </si>
  <si>
    <t>IRUN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</si>
</sst>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8FRiyWvXINP4an0TXCYbAyctgvqOCfjLeDadAfFFkHtPTkdlPiW+UCMITefLnkilnAinKG5Xekep8ivfYr23w==" saltValue="+a+W4IV9jwQhaE98ofZd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28</v>
      </c>
      <c r="E10" s="226">
        <f>IF(ISNUMBER(Datos!J10),Datos!J10," - ")</f>
        <v>16</v>
      </c>
      <c r="F10" s="226">
        <f>IF(ISNUMBER(Datos!K10),Datos!K10," - ")</f>
        <v>14</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7.1428571428571425E-2</v>
      </c>
      <c r="L10" s="1025">
        <f>IF(ISNUMBER(NºAsuntos!I10/NºAsuntos!G10),(NºAsuntos!I10/NºAsuntos!G10)*11," - ")</f>
        <v>23.571428571428569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30.485294117647058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28</v>
      </c>
      <c r="E13" s="1050">
        <f>SUBTOTAL(9,E9:E12)</f>
        <v>16</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1796</v>
      </c>
      <c r="D16" s="225">
        <f>IF(ISNUMBER(IF(D_I="SI",Datos!I16,Datos!I16+Datos!AC16)),IF(D_I="SI",Datos!I16,Datos!I16+Datos!AC16)," - ")</f>
        <v>1796</v>
      </c>
      <c r="E16" s="226">
        <f>IF(ISNUMBER(IF(D_I="SI",Datos!J16,Datos!J16+Datos!AD16)),IF(D_I="SI",Datos!J16,Datos!J16+Datos!AD16)," - ")</f>
        <v>1127</v>
      </c>
      <c r="F16" s="226">
        <f>IF(ISNUMBER(IF(D_I="SI",Datos!K16,Datos!K16+Datos!AE16)),IF(D_I="SI",Datos!K16,Datos!K16+Datos!AE16)," - ")</f>
        <v>1095</v>
      </c>
      <c r="G16" s="1034" t="str">
        <f>IF(Datos!E16&lt;&gt;"",Datos!E16,Datos!D16)</f>
        <v>04</v>
      </c>
      <c r="H16" s="227">
        <f>IF(ISNUMBER(IF(D_I="SI",Datos!L16,Datos!L16+Datos!AF16)),IF(D_I="SI",Datos!L16,Datos!L16+Datos!AF16)," - ")</f>
        <v>1828</v>
      </c>
      <c r="I16" s="1044" t="str">
        <f>IF(ISNUMBER(Datos!AS16/Datos!BM16),Datos!AS16/Datos!BM16," - ")</f>
        <v xml:space="preserve"> - </v>
      </c>
      <c r="J16" s="1045">
        <f>IF(ISNUMBER(Datos!BY16/Datos!CN16),Datos!BY16/Datos!CN16," - ")</f>
        <v>0</v>
      </c>
      <c r="K16" s="230">
        <f t="shared" si="3"/>
        <v>1.7817371937639197E-2</v>
      </c>
      <c r="L16" s="1025">
        <f>IF(ISNUMBER(NºAsuntos!I16/NºAsuntos!G16),(NºAsuntos!I16/NºAsuntos!G16)*11," - ")</f>
        <v>18.363470319634704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v>
      </c>
      <c r="D17" s="225">
        <f>IF(ISNUMBER(IF(D_I="SI",Datos!I17,Datos!I17+Datos!AC17)),IF(D_I="SI",Datos!I17,Datos!I17+Datos!AC17)," - ")</f>
        <v>31</v>
      </c>
      <c r="E17" s="226">
        <f>IF(ISNUMBER(IF(D_I="SI",Datos!J17,Datos!J17+Datos!AD17)),IF(D_I="SI",Datos!J17,Datos!J17+Datos!AD17)," - ")</f>
        <v>90</v>
      </c>
      <c r="F17" s="226">
        <f>IF(ISNUMBER(IF(D_I="SI",Datos!K17,Datos!K17+Datos!AE17)),IF(D_I="SI",Datos!K17,Datos!K17+Datos!AE17)," - ")</f>
        <v>80</v>
      </c>
      <c r="G17" s="1034" t="str">
        <f>IF(Datos!E17&lt;&gt;"",Datos!E17,Datos!D17)</f>
        <v>37</v>
      </c>
      <c r="H17" s="227">
        <f>IF(ISNUMBER(IF(D_I="SI",Datos!L17,Datos!L17+Datos!AF17)),IF(D_I="SI",Datos!L17,Datos!L17+Datos!AF17)," - ")</f>
        <v>41</v>
      </c>
      <c r="I17" s="1044" t="str">
        <f>IF(ISNUMBER(Datos!AS17/Datos!BM17),Datos!AS17/Datos!BM17," - ")</f>
        <v xml:space="preserve"> - </v>
      </c>
      <c r="J17" s="1045" t="str">
        <f>IF(ISNUMBER((Datos!BY17+Datos!BZ17)/Datos!CN17),(Datos!BY17+Datos!BZ17)/Datos!CN17," - ")</f>
        <v xml:space="preserve"> - </v>
      </c>
      <c r="K17" s="230">
        <f t="shared" si="3"/>
        <v>0.32258064516129031</v>
      </c>
      <c r="L17" s="1025">
        <f>IF(ISNUMBER(NºAsuntos!I17/NºAsuntos!G17),(NºAsuntos!I17/NºAsuntos!G17)*11," - ")</f>
        <v>5.6374999999999993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1827</v>
      </c>
      <c r="D18" s="1049">
        <f>SUBTOTAL(9,D15:D17)</f>
        <v>1827</v>
      </c>
      <c r="E18" s="1050">
        <f>SUBTOTAL(9,E15:E17)</f>
        <v>1217</v>
      </c>
      <c r="F18" s="1050">
        <f>SUBTOTAL(9,F15:F17)</f>
        <v>1175</v>
      </c>
      <c r="G18" s="1052" t="str">
        <f ca="1">INDIRECT(CONCATENATE("G",ROW()-1))</f>
        <v>37</v>
      </c>
      <c r="H18" s="1053">
        <f ca="1">SUMIF(G$14:G17,G18,H$14:H17)</f>
        <v>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1855</v>
      </c>
      <c r="D19" s="1071">
        <f>SUBTOTAL(9,D9:D18)</f>
        <v>1855</v>
      </c>
      <c r="E19" s="1072">
        <f>SUBTOTAL(9,E9:E18)</f>
        <v>1233</v>
      </c>
      <c r="F19" s="1072">
        <f>SUBTOTAL(9,F9:F18)</f>
        <v>1189</v>
      </c>
      <c r="G19" s="1073"/>
      <c r="H19" s="1074">
        <f ca="1">SUMIF(B9:B18,"TOTAL",H9:H18)</f>
        <v>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K9YYbs5L90AB+Wpuhjjk0oYrUipEHfL6m147U9spspYJM94eG5c6on/sVGUk46TJ6tO+7gFsCwu5tW7DJ20PA==" saltValue="NV3ALAWs2Ko6A32poCaC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TbZLzAQjL3QI4QaDcZ7dd5iLuszeDjYWkVkULjt1TZwVdJZLv2t2soiiCjfgUegjfoq0jm8iIXj5LlmOhieXw==" saltValue="xwqaRGxrcK950M+hq81K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16</v>
      </c>
      <c r="K10" s="181">
        <v>14</v>
      </c>
      <c r="L10" s="181">
        <v>30</v>
      </c>
      <c r="M10" s="181">
        <v>6</v>
      </c>
      <c r="N10" s="181">
        <v>11</v>
      </c>
      <c r="O10" s="181">
        <v>0</v>
      </c>
      <c r="P10" s="181">
        <v>11</v>
      </c>
      <c r="Q10" s="181">
        <v>7</v>
      </c>
      <c r="R10" s="181">
        <v>14</v>
      </c>
      <c r="S10" s="181">
        <v>26</v>
      </c>
      <c r="T10" s="181">
        <v>10</v>
      </c>
      <c r="U10" s="181">
        <v>7</v>
      </c>
      <c r="V10" s="181">
        <v>29</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10</v>
      </c>
      <c r="BA10" s="129">
        <f t="shared" si="0"/>
        <v>7</v>
      </c>
      <c r="BB10" s="129">
        <f t="shared" si="0"/>
        <v>29</v>
      </c>
      <c r="BC10" s="125">
        <f t="shared" si="0"/>
        <v>3</v>
      </c>
      <c r="BD10" s="126">
        <f>IF(ISNUMBER(BA10/AZ10),BA10/AZ10," - ")</f>
        <v>0.7</v>
      </c>
      <c r="BE10" s="127">
        <f>IF(ISNUMBER(BB10/BA10),BB10/BA10, " - ")</f>
        <v>4.1428571428571432</v>
      </c>
      <c r="BF10" s="127">
        <f>IF(ISNUMBER(BC10/BA10),BC10/BA10, " - ")</f>
        <v>0.42857142857142855</v>
      </c>
      <c r="BG10" s="196">
        <f>IF(ISNUMBER((AY10+AZ10)/BA10),(AY10+AZ10)/BA10," - ")</f>
        <v>5.1428571428571432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1903</v>
      </c>
      <c r="J12" s="183">
        <v>787</v>
      </c>
      <c r="K12" s="183">
        <v>682</v>
      </c>
      <c r="L12" s="183">
        <v>2008</v>
      </c>
      <c r="M12" s="183">
        <v>201</v>
      </c>
      <c r="N12" s="183">
        <v>269</v>
      </c>
      <c r="O12" s="181">
        <v>278</v>
      </c>
      <c r="P12" s="183">
        <v>160</v>
      </c>
      <c r="Q12" s="183">
        <v>63</v>
      </c>
      <c r="R12" s="183">
        <v>1810</v>
      </c>
      <c r="S12" s="183">
        <v>1260</v>
      </c>
      <c r="T12" s="183">
        <v>798</v>
      </c>
      <c r="U12" s="183">
        <v>532</v>
      </c>
      <c r="V12" s="183">
        <v>1522</v>
      </c>
      <c r="W12" s="183">
        <v>120</v>
      </c>
      <c r="X12" s="189">
        <v>203</v>
      </c>
      <c r="Y12" s="191">
        <v>67</v>
      </c>
      <c r="Z12" s="181">
        <v>64</v>
      </c>
      <c r="AA12" s="181">
        <v>66</v>
      </c>
      <c r="AB12" s="181">
        <v>65</v>
      </c>
      <c r="AC12" s="183">
        <v>0</v>
      </c>
      <c r="AD12" s="183">
        <v>0</v>
      </c>
      <c r="AE12" s="183">
        <v>0</v>
      </c>
      <c r="AF12" s="189">
        <v>0</v>
      </c>
      <c r="AG12" s="202">
        <v>66</v>
      </c>
      <c r="AH12" s="183">
        <v>63</v>
      </c>
      <c r="AI12" s="183">
        <v>62</v>
      </c>
      <c r="AJ12" s="203">
        <v>67</v>
      </c>
      <c r="AK12" s="182">
        <v>0</v>
      </c>
      <c r="AL12" s="183">
        <v>0</v>
      </c>
      <c r="AM12" s="183">
        <v>0</v>
      </c>
      <c r="AN12" s="189">
        <v>0</v>
      </c>
      <c r="AO12" s="259">
        <v>5</v>
      </c>
      <c r="AP12" s="155">
        <v>5</v>
      </c>
      <c r="AQ12" s="155">
        <v>5</v>
      </c>
      <c r="AR12" s="154">
        <v>5</v>
      </c>
      <c r="AS12" s="340" t="s">
        <v>802</v>
      </c>
      <c r="AT12" s="203"/>
      <c r="AU12" s="202"/>
      <c r="AV12" s="203"/>
      <c r="AW12" s="202"/>
      <c r="AX12" s="203"/>
      <c r="AY12" s="126">
        <f t="shared" si="1"/>
        <v>1326</v>
      </c>
      <c r="AZ12" s="127">
        <f t="shared" si="1"/>
        <v>861</v>
      </c>
      <c r="BA12" s="127">
        <f t="shared" si="1"/>
        <v>594</v>
      </c>
      <c r="BB12" s="127">
        <f t="shared" si="1"/>
        <v>1589</v>
      </c>
      <c r="BC12" s="125">
        <f>IF(ISNUMBER(X12),X12," - ")</f>
        <v>203</v>
      </c>
      <c r="BD12" s="126">
        <f t="shared" si="2"/>
        <v>0.68989547038327526</v>
      </c>
      <c r="BE12" s="127">
        <f t="shared" si="3"/>
        <v>2.6750841750841752</v>
      </c>
      <c r="BF12" s="127">
        <f t="shared" si="4"/>
        <v>0.34175084175084175</v>
      </c>
      <c r="BG12" s="196">
        <f t="shared" si="5"/>
        <v>3.6818181818181817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1931</v>
      </c>
      <c r="J13" s="184">
        <f t="shared" si="6"/>
        <v>803</v>
      </c>
      <c r="K13" s="184">
        <f t="shared" si="6"/>
        <v>696</v>
      </c>
      <c r="L13" s="184">
        <f t="shared" si="6"/>
        <v>2038</v>
      </c>
      <c r="M13" s="184">
        <f t="shared" si="6"/>
        <v>207</v>
      </c>
      <c r="N13" s="184">
        <f t="shared" si="6"/>
        <v>280</v>
      </c>
      <c r="O13" s="184">
        <f t="shared" si="6"/>
        <v>278</v>
      </c>
      <c r="P13" s="184">
        <f t="shared" si="6"/>
        <v>171</v>
      </c>
      <c r="Q13" s="184">
        <f t="shared" si="6"/>
        <v>70</v>
      </c>
      <c r="R13" s="184">
        <f t="shared" si="6"/>
        <v>1824</v>
      </c>
      <c r="S13" s="184">
        <f t="shared" si="6"/>
        <v>1286</v>
      </c>
      <c r="T13" s="184">
        <f t="shared" si="6"/>
        <v>808</v>
      </c>
      <c r="U13" s="184">
        <f t="shared" si="6"/>
        <v>539</v>
      </c>
      <c r="V13" s="184">
        <f t="shared" si="6"/>
        <v>1551</v>
      </c>
      <c r="W13" s="184">
        <f t="shared" si="6"/>
        <v>123</v>
      </c>
      <c r="X13" s="184">
        <f t="shared" si="6"/>
        <v>203</v>
      </c>
      <c r="Y13" s="184">
        <f t="shared" si="6"/>
        <v>67</v>
      </c>
      <c r="Z13" s="184">
        <f t="shared" si="6"/>
        <v>64</v>
      </c>
      <c r="AA13" s="184">
        <f t="shared" si="6"/>
        <v>66</v>
      </c>
      <c r="AB13" s="184">
        <f t="shared" si="6"/>
        <v>65</v>
      </c>
      <c r="AC13" s="184">
        <f t="shared" si="6"/>
        <v>0</v>
      </c>
      <c r="AD13" s="184">
        <f t="shared" si="6"/>
        <v>0</v>
      </c>
      <c r="AE13" s="184">
        <f t="shared" si="6"/>
        <v>0</v>
      </c>
      <c r="AF13" s="184">
        <f>SUBTOTAL(9,AF9:AF12)</f>
        <v>0</v>
      </c>
      <c r="AG13" s="184">
        <f t="shared" ref="AG13:AT13" si="7">SUBTOTAL(9,AG8:AG12)</f>
        <v>66</v>
      </c>
      <c r="AH13" s="184">
        <f t="shared" si="7"/>
        <v>63</v>
      </c>
      <c r="AI13" s="184">
        <f t="shared" si="7"/>
        <v>62</v>
      </c>
      <c r="AJ13" s="184">
        <f t="shared" si="7"/>
        <v>67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1352</v>
      </c>
      <c r="AZ13" s="184">
        <f>SUBTOTAL(9,AZ8:AZ12)</f>
        <v>871</v>
      </c>
      <c r="BA13" s="184">
        <f>SUBTOTAL(9,BA8:BA12)</f>
        <v>601</v>
      </c>
      <c r="BB13" s="184">
        <f>SUBTOTAL(9,BB8:BB12)</f>
        <v>1618</v>
      </c>
      <c r="BC13" s="184">
        <f>SUBTOTAL(9,BC8:BC12)</f>
        <v>206</v>
      </c>
      <c r="BD13" s="205">
        <f>IF(ISNUMBER(BA13/AZ13),BA13/AZ13," - ")</f>
        <v>0.6900114810562572</v>
      </c>
      <c r="BE13" s="206">
        <f>IF(ISNUMBER(BB13/BA13),BB13/BA13, " - ")</f>
        <v>2.6921797004991679</v>
      </c>
      <c r="BF13" s="206">
        <f>IF(ISNUMBER(BC13/BA13),BC13/BA13, " - ")</f>
        <v>0.34276206322795338</v>
      </c>
      <c r="BG13" s="207">
        <f>IF(ISNUMBER((AY13+AZ13)/BA13),(AY13+AZ13)/BA13," - ")</f>
        <v>3.6988352745424291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1796</v>
      </c>
      <c r="J16" s="183">
        <v>1127</v>
      </c>
      <c r="K16" s="183">
        <v>1095</v>
      </c>
      <c r="L16" s="183">
        <v>1828</v>
      </c>
      <c r="M16" s="183">
        <v>220</v>
      </c>
      <c r="N16" s="183">
        <v>569</v>
      </c>
      <c r="O16" s="181">
        <v>0</v>
      </c>
      <c r="P16" s="183">
        <v>57</v>
      </c>
      <c r="Q16" s="183">
        <v>42</v>
      </c>
      <c r="R16" s="183">
        <v>296</v>
      </c>
      <c r="S16" s="183">
        <v>1760</v>
      </c>
      <c r="T16" s="183">
        <v>1092</v>
      </c>
      <c r="U16" s="183">
        <v>1145</v>
      </c>
      <c r="V16" s="183">
        <v>1714</v>
      </c>
      <c r="W16" s="183">
        <v>231</v>
      </c>
      <c r="X16" s="189">
        <v>521</v>
      </c>
      <c r="Y16" s="202">
        <v>0</v>
      </c>
      <c r="Z16" s="183">
        <v>0</v>
      </c>
      <c r="AA16" s="183">
        <v>0</v>
      </c>
      <c r="AB16" s="183">
        <v>0</v>
      </c>
      <c r="AC16" s="183">
        <v>12</v>
      </c>
      <c r="AD16" s="183">
        <v>87</v>
      </c>
      <c r="AE16" s="183">
        <v>95</v>
      </c>
      <c r="AF16" s="189">
        <v>4</v>
      </c>
      <c r="AG16" s="202">
        <v>0</v>
      </c>
      <c r="AH16" s="183">
        <v>0</v>
      </c>
      <c r="AI16" s="183">
        <v>0</v>
      </c>
      <c r="AJ16" s="203">
        <v>0</v>
      </c>
      <c r="AK16" s="182">
        <v>30</v>
      </c>
      <c r="AL16" s="183">
        <v>73</v>
      </c>
      <c r="AM16" s="183">
        <v>73</v>
      </c>
      <c r="AN16" s="189">
        <v>30</v>
      </c>
      <c r="AO16" s="259">
        <v>5</v>
      </c>
      <c r="AP16" s="155">
        <v>5</v>
      </c>
      <c r="AQ16" s="155">
        <v>5</v>
      </c>
      <c r="AR16" s="155">
        <v>5</v>
      </c>
      <c r="AS16" s="340" t="s">
        <v>487</v>
      </c>
      <c r="AT16" s="203"/>
      <c r="AU16" s="202"/>
      <c r="AV16" s="203"/>
      <c r="AW16" s="202"/>
      <c r="AX16" s="203"/>
      <c r="AY16" s="126">
        <f t="shared" si="9"/>
        <v>1760</v>
      </c>
      <c r="AZ16" s="127">
        <f t="shared" si="9"/>
        <v>1092</v>
      </c>
      <c r="BA16" s="127">
        <f t="shared" si="9"/>
        <v>1145</v>
      </c>
      <c r="BB16" s="127">
        <f t="shared" si="9"/>
        <v>1714</v>
      </c>
      <c r="BC16" s="125">
        <f>IF(ISNUMBER(W16),W16," - ")</f>
        <v>231</v>
      </c>
      <c r="BD16" s="126">
        <f t="shared" ref="BD16" si="11">IF(ISNUMBER(BA16/AZ16),BA16/AZ16," - ")</f>
        <v>1.0485347985347986</v>
      </c>
      <c r="BE16" s="127">
        <f t="shared" ref="BE16" si="12">IF(ISNUMBER(BB16/BA16),BB16/BA16, " - ")</f>
        <v>1.496943231441048</v>
      </c>
      <c r="BF16" s="127">
        <f t="shared" ref="BF16" si="13">IF(ISNUMBER(BC16/BA16),BC16/BA16, " - ")</f>
        <v>0.2017467248908297</v>
      </c>
      <c r="BG16" s="196">
        <f t="shared" si="10"/>
        <v>2.4908296943231441</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90</v>
      </c>
      <c r="K17" s="183">
        <v>80</v>
      </c>
      <c r="L17" s="183">
        <v>41</v>
      </c>
      <c r="M17" s="183">
        <v>24</v>
      </c>
      <c r="N17" s="183">
        <v>44</v>
      </c>
      <c r="O17" s="183">
        <v>0</v>
      </c>
      <c r="P17" s="183">
        <v>3</v>
      </c>
      <c r="Q17" s="183">
        <v>3</v>
      </c>
      <c r="R17" s="183">
        <v>10</v>
      </c>
      <c r="S17" s="183">
        <v>46</v>
      </c>
      <c r="T17" s="183">
        <v>68</v>
      </c>
      <c r="U17" s="183">
        <v>70</v>
      </c>
      <c r="V17" s="183">
        <v>44</v>
      </c>
      <c r="W17" s="183">
        <v>15</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68</v>
      </c>
      <c r="BA17" s="129">
        <f t="shared" si="14"/>
        <v>70</v>
      </c>
      <c r="BB17" s="129">
        <f t="shared" si="14"/>
        <v>44</v>
      </c>
      <c r="BC17" s="125">
        <f>IF(ISNUMBER(W17),W17," - ")</f>
        <v>15</v>
      </c>
      <c r="BD17" s="126">
        <f>IF(ISNUMBER(BA17/AZ17),BA17/AZ17," - ")</f>
        <v>1.0294117647058822</v>
      </c>
      <c r="BE17" s="127">
        <f>IF(ISNUMBER(BB17/BA17),BB17/BA17, " - ")</f>
        <v>0.62857142857142856</v>
      </c>
      <c r="BF17" s="127">
        <f>IF(ISNUMBER(BC17/BA17),BC17/BA17, " - ")</f>
        <v>0.21428571428571427</v>
      </c>
      <c r="BG17" s="196">
        <f>IF(ISNUMBER((AY17+AZ17)/BA17),(AY17+AZ17)/BA17," - ")</f>
        <v>1.6285714285714286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1827</v>
      </c>
      <c r="J18" s="184">
        <f t="shared" si="15"/>
        <v>1217</v>
      </c>
      <c r="K18" s="184">
        <f t="shared" si="15"/>
        <v>1175</v>
      </c>
      <c r="L18" s="184">
        <f t="shared" si="15"/>
        <v>1869</v>
      </c>
      <c r="M18" s="184">
        <f t="shared" si="15"/>
        <v>244</v>
      </c>
      <c r="N18" s="184">
        <f t="shared" si="15"/>
        <v>613</v>
      </c>
      <c r="O18" s="184">
        <f t="shared" si="15"/>
        <v>0</v>
      </c>
      <c r="P18" s="184">
        <f t="shared" si="15"/>
        <v>60</v>
      </c>
      <c r="Q18" s="184">
        <f t="shared" si="15"/>
        <v>45</v>
      </c>
      <c r="R18" s="184">
        <f t="shared" si="15"/>
        <v>306</v>
      </c>
      <c r="S18" s="184">
        <f t="shared" si="15"/>
        <v>1806</v>
      </c>
      <c r="T18" s="184">
        <f t="shared" si="15"/>
        <v>1160</v>
      </c>
      <c r="U18" s="184">
        <f t="shared" si="15"/>
        <v>1215</v>
      </c>
      <c r="V18" s="184">
        <f t="shared" si="15"/>
        <v>1758</v>
      </c>
      <c r="W18" s="184">
        <f t="shared" si="15"/>
        <v>246</v>
      </c>
      <c r="X18" s="184">
        <f t="shared" si="15"/>
        <v>557</v>
      </c>
      <c r="Y18" s="184">
        <f t="shared" si="15"/>
        <v>0</v>
      </c>
      <c r="Z18" s="184">
        <f t="shared" si="15"/>
        <v>0</v>
      </c>
      <c r="AA18" s="184">
        <f t="shared" si="15"/>
        <v>0</v>
      </c>
      <c r="AB18" s="184">
        <f t="shared" si="15"/>
        <v>0</v>
      </c>
      <c r="AC18" s="184">
        <f t="shared" si="15"/>
        <v>12</v>
      </c>
      <c r="AD18" s="184">
        <f t="shared" si="15"/>
        <v>87</v>
      </c>
      <c r="AE18" s="184">
        <f t="shared" si="15"/>
        <v>95</v>
      </c>
      <c r="AF18" s="184">
        <f t="shared" si="15"/>
        <v>4</v>
      </c>
      <c r="AG18" s="184">
        <f t="shared" si="15"/>
        <v>0</v>
      </c>
      <c r="AH18" s="184">
        <f t="shared" si="15"/>
        <v>0</v>
      </c>
      <c r="AI18" s="184">
        <f t="shared" si="15"/>
        <v>0</v>
      </c>
      <c r="AJ18" s="184">
        <f t="shared" si="15"/>
        <v>0</v>
      </c>
      <c r="AK18" s="184">
        <f t="shared" si="15"/>
        <v>30</v>
      </c>
      <c r="AL18" s="184">
        <f t="shared" si="15"/>
        <v>73</v>
      </c>
      <c r="AM18" s="184">
        <f t="shared" si="15"/>
        <v>73</v>
      </c>
      <c r="AN18" s="184">
        <f t="shared" si="15"/>
        <v>30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1806</v>
      </c>
      <c r="AZ18" s="184">
        <f>SUBTOTAL(9,AZ14:AZ17)</f>
        <v>1160</v>
      </c>
      <c r="BA18" s="184">
        <f>SUBTOTAL(9,BA14:BA17)</f>
        <v>1215</v>
      </c>
      <c r="BB18" s="184">
        <f>SUBTOTAL(9,BB14:BB17)</f>
        <v>1758</v>
      </c>
      <c r="BC18" s="184">
        <f>SUBTOTAL(9,BC14:BC17)</f>
        <v>246</v>
      </c>
      <c r="BD18" s="205">
        <f>IF(ISNUMBER(BA18/AZ18),BA18/AZ18," - ")</f>
        <v>1.0474137931034482</v>
      </c>
      <c r="BE18" s="206">
        <f>IF(ISNUMBER(BB18/BA18),BB18/BA18, " - ")</f>
        <v>1.4469135802469135</v>
      </c>
      <c r="BF18" s="206">
        <f>IF(ISNUMBER(BC18/BA18),BC18/BA18, " - ")</f>
        <v>0.20246913580246914</v>
      </c>
      <c r="BG18" s="207">
        <f>IF(ISNUMBER((AY18+AZ18)/BA18),(AY18+AZ18)/BA18," - ")</f>
        <v>2.4411522633744855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3758</v>
      </c>
      <c r="J19" s="134">
        <f t="shared" si="18"/>
        <v>2020</v>
      </c>
      <c r="K19" s="134">
        <f t="shared" si="18"/>
        <v>1871</v>
      </c>
      <c r="L19" s="134">
        <f t="shared" si="18"/>
        <v>3907</v>
      </c>
      <c r="M19" s="134">
        <f t="shared" si="18"/>
        <v>451</v>
      </c>
      <c r="N19" s="134">
        <f t="shared" si="18"/>
        <v>893</v>
      </c>
      <c r="O19" s="134">
        <f t="shared" si="18"/>
        <v>278</v>
      </c>
      <c r="P19" s="134">
        <f t="shared" si="18"/>
        <v>231</v>
      </c>
      <c r="Q19" s="134">
        <f t="shared" si="18"/>
        <v>115</v>
      </c>
      <c r="R19" s="134">
        <f t="shared" si="18"/>
        <v>2130</v>
      </c>
      <c r="S19" s="134">
        <f t="shared" si="18"/>
        <v>3092</v>
      </c>
      <c r="T19" s="134">
        <f t="shared" si="18"/>
        <v>1968</v>
      </c>
      <c r="U19" s="134">
        <f t="shared" si="18"/>
        <v>1754</v>
      </c>
      <c r="V19" s="134">
        <f t="shared" si="18"/>
        <v>3309</v>
      </c>
      <c r="W19" s="134">
        <f t="shared" si="18"/>
        <v>369</v>
      </c>
      <c r="X19" s="134">
        <f t="shared" si="18"/>
        <v>760</v>
      </c>
      <c r="Y19" s="134">
        <f t="shared" si="18"/>
        <v>67</v>
      </c>
      <c r="Z19" s="134">
        <f t="shared" si="18"/>
        <v>64</v>
      </c>
      <c r="AA19" s="134">
        <f t="shared" si="18"/>
        <v>66</v>
      </c>
      <c r="AB19" s="134">
        <f t="shared" si="18"/>
        <v>65</v>
      </c>
      <c r="AC19" s="134">
        <f t="shared" si="18"/>
        <v>12</v>
      </c>
      <c r="AD19" s="134">
        <f t="shared" si="18"/>
        <v>87</v>
      </c>
      <c r="AE19" s="134">
        <f t="shared" si="18"/>
        <v>95</v>
      </c>
      <c r="AF19" s="134">
        <f t="shared" si="18"/>
        <v>4</v>
      </c>
      <c r="AG19" s="134">
        <f t="shared" si="18"/>
        <v>66</v>
      </c>
      <c r="AH19" s="134">
        <f t="shared" si="18"/>
        <v>63</v>
      </c>
      <c r="AI19" s="134">
        <f t="shared" si="18"/>
        <v>62</v>
      </c>
      <c r="AJ19" s="134">
        <f t="shared" si="18"/>
        <v>67</v>
      </c>
      <c r="AK19" s="134">
        <f t="shared" si="18"/>
        <v>30</v>
      </c>
      <c r="AL19" s="134">
        <f t="shared" si="18"/>
        <v>73</v>
      </c>
      <c r="AM19" s="134">
        <f t="shared" si="18"/>
        <v>73</v>
      </c>
      <c r="AN19" s="210">
        <f t="shared" si="18"/>
        <v>30</v>
      </c>
      <c r="AO19" s="211">
        <v>6</v>
      </c>
      <c r="AP19" s="211">
        <v>5</v>
      </c>
      <c r="AQ19" s="211">
        <v>5</v>
      </c>
      <c r="AR19" s="211">
        <v>5</v>
      </c>
      <c r="AS19" s="153">
        <f t="shared" si="18"/>
        <v>0</v>
      </c>
      <c r="AT19" s="153">
        <f t="shared" si="18"/>
        <v>0</v>
      </c>
      <c r="AU19" s="211"/>
      <c r="AV19" s="212"/>
      <c r="AW19" s="211"/>
      <c r="AX19" s="212"/>
      <c r="AY19" s="133">
        <f>SUBTOTAL(9,AY9:AY18)</f>
        <v>3158</v>
      </c>
      <c r="AZ19" s="134">
        <f>SUBTOTAL(9,AZ9:AZ18)</f>
        <v>2031</v>
      </c>
      <c r="BA19" s="134">
        <f>SUBTOTAL(9,BA9:BA18)</f>
        <v>1816</v>
      </c>
      <c r="BB19" s="134">
        <f>SUBTOTAL(9,BB9:BB18)</f>
        <v>3376</v>
      </c>
      <c r="BC19" s="135">
        <f>SUBTOTAL(9,BC9:BC18)</f>
        <v>452</v>
      </c>
      <c r="BD19" s="213">
        <f>IF(ISNUMBER(BA19/AZ19),BA19/AZ19," - ")</f>
        <v>0.89414081733136386</v>
      </c>
      <c r="BE19" s="210">
        <f>IF(ISNUMBER(BB19/BA19),BB19/BA19, " - ")</f>
        <v>1.8590308370044053</v>
      </c>
      <c r="BF19" s="210">
        <f>IF(ISNUMBER(BC19/BA19),BC19/BA19, " - ")</f>
        <v>0.24889867841409691</v>
      </c>
      <c r="BG19" s="135">
        <f>IF(ISNUMBER((AY19+AZ19)/BA19),(AY19+AZ19)/BA19," - ")</f>
        <v>2.8573788546255505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8DUkujNWag0Upq7LQuMqHBOJiNMubZSn6zeEgy3VmC/IzZlLLBkAX5Ds/15Q7rtwO8RTNYPTW7xK27bba5uMQ==" saltValue="0YplmlJrCB1cJawTb437R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gGXG0VINYdYrTnEtvH5WClXOv2lBHE4y6rS/V0kmcV30A+T4yweVO1YDaVN5AGWfZiKRyEhSHe1hNB1rGMAHw==" saltValue="3kmXGb5ivkLfuAZjCKH6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7</v>
      </c>
      <c r="AD10" s="334"/>
      <c r="AE10" s="484"/>
      <c r="AF10" s="332">
        <f>IF(ISNUMBER(Datos!L10),Datos!L10,"-")</f>
        <v>30</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11</v>
      </c>
      <c r="BE10" s="229" t="str">
        <f>IF(ISNUMBER(Datos!BW10),Datos!BW10," - ")</f>
        <v xml:space="preserve"> - </v>
      </c>
      <c r="BF10" s="228" t="str">
        <f>IF(ISNUMBER(Datos!BX10),Datos!BX10," - ")</f>
        <v xml:space="preserve"> - </v>
      </c>
      <c r="BG10" s="243">
        <f>IF(ISNUMBER(Datos!K10/Datos!J10),Datos!K10/Datos!J10," - ")</f>
        <v>0.875</v>
      </c>
      <c r="BH10" s="260">
        <f>IF(ISNUMBER(((Datos!L10/Datos!K10)*11)/factor_trimestre),((Datos!L10/Datos!K10)*11)/factor_trimestre," - ")</f>
        <v>6.4285714285714279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64</v>
      </c>
      <c r="O12" s="334"/>
      <c r="P12" s="334"/>
      <c r="Q12" s="226">
        <f>IF(ISNUMBER(Datos!P12),Datos!P12,0)</f>
        <v>160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65</v>
      </c>
      <c r="AI12" s="334" t="str">
        <f>IF(ISNUMBER(Datos!CD12),Datos!CD12,"-")</f>
        <v>-</v>
      </c>
      <c r="AJ12" s="334" t="str">
        <f>IF(ISNUMBER(Datos!EN12),Datos!EN12," - ")</f>
        <v xml:space="preserve"> - </v>
      </c>
      <c r="AK12" s="334"/>
      <c r="AL12" s="479"/>
      <c r="AM12" s="335">
        <f>IF(ISNUMBER(Datos!R12),Datos!R12," - ")</f>
        <v>1810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201</v>
      </c>
      <c r="BD12" s="229">
        <f>IF(ISNUMBER(Datos!N12),Datos!N12," - ")</f>
        <v>269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0.87896592244418337</v>
      </c>
      <c r="BH12" s="260">
        <f>IF(ISNUMBER(((IF(J_V="SI",Datos!L12/Datos!K12,(Datos!L12+Datos!AB12)/(Datos!K12+Datos!AA12)))*11)/factor_trimestre),((IF(J_V="SI",Datos!L12/Datos!K12,(Datos!L12+Datos!AB12)/(Datos!K12+Datos!AA12)))*11)/factor_trimestre," - ")</f>
        <v>8.3141711229946527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5.6625802685347344E-2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64</v>
      </c>
      <c r="O13" s="900">
        <f t="shared" si="0"/>
        <v>0</v>
      </c>
      <c r="P13" s="900">
        <f t="shared" si="0"/>
        <v>0</v>
      </c>
      <c r="Q13" s="899">
        <f t="shared" si="0"/>
        <v>171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70</v>
      </c>
      <c r="AD13" s="899">
        <f t="shared" si="1"/>
        <v>0</v>
      </c>
      <c r="AE13" s="899">
        <f t="shared" si="1"/>
        <v>0</v>
      </c>
      <c r="AF13" s="899">
        <f t="shared" si="1"/>
        <v>30</v>
      </c>
      <c r="AG13" s="899">
        <f t="shared" si="1"/>
        <v>0</v>
      </c>
      <c r="AH13" s="899">
        <f t="shared" si="1"/>
        <v>65</v>
      </c>
      <c r="AI13" s="899">
        <f t="shared" si="1"/>
        <v>0</v>
      </c>
      <c r="AJ13" s="899">
        <f t="shared" si="1"/>
        <v>0</v>
      </c>
      <c r="AK13" s="899">
        <f t="shared" si="1"/>
        <v>0</v>
      </c>
      <c r="AL13" s="899">
        <f t="shared" si="1"/>
        <v>0</v>
      </c>
      <c r="AM13" s="899">
        <f t="shared" si="1"/>
        <v>1824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207</v>
      </c>
      <c r="BD13" s="899">
        <f t="shared" si="1"/>
        <v>280</v>
      </c>
      <c r="BE13" s="899">
        <f t="shared" si="1"/>
        <v>0</v>
      </c>
      <c r="BF13" s="899">
        <f t="shared" si="1"/>
        <v>0</v>
      </c>
      <c r="BG13" s="899">
        <f>IF(ISNUMBER(Datos!K13/Datos!J13),Datos!K13/Datos!J13," - ")</f>
        <v>0.86674968866749691</v>
      </c>
      <c r="BH13" s="903">
        <f>IF(ISNUMBER(((Datos!L13/Datos!K13)*11)/factor_trimestre),((Datos!L13/Datos!K13)*11)/factor_trimestre," - ")</f>
        <v>8.7844827586206904</v>
      </c>
      <c r="BI13" s="899">
        <f>IF(ISNUMBER('Resol  Asuntos'!D13/NºAsuntos!G13),'Resol  Asuntos'!D13/NºAsuntos!G13," - ")</f>
        <v>0.27165354330708663</v>
      </c>
      <c r="BJ13" s="899" t="str">
        <f>IF(ISNUMBER(Datos!CI13/Datos!CJ13),Datos!CI13/Datos!CJ13," - ")</f>
        <v xml:space="preserve"> - </v>
      </c>
      <c r="BK13" s="899">
        <f>SUBTOTAL(9,BK8:BK12)</f>
        <v>0</v>
      </c>
      <c r="BL13" s="899">
        <f>IF(ISNUMBER((I13-AB13+L13)/(F13)),(I13-AB13+L13)/(F13)," - ")</f>
        <v>-0.5</v>
      </c>
      <c r="BM13" s="904">
        <f>SUBTOTAL(9,BM9:BM12)</f>
        <v>0.45662580268534736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1796</v>
      </c>
      <c r="G16" s="598">
        <f>IF(ISNUMBER(IF(D_I="SI",Datos!I16,Datos!I16+Datos!AC16)),IF(D_I="SI",Datos!I16,Datos!I16+Datos!AC16)," - ")</f>
        <v>1796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1095</v>
      </c>
      <c r="AC16" s="226">
        <f>IF(ISNUMBER(Datos!Q16),Datos!Q16," - ")</f>
        <v>42</v>
      </c>
      <c r="AD16" s="334"/>
      <c r="AE16" s="484"/>
      <c r="AF16" s="596">
        <f>IF(ISNUMBER(IF(D_I="SI",Datos!L16,Datos!L16+Datos!AF16)),IF(D_I="SI",Datos!L16,Datos!L16+Datos!AF16)," - ")</f>
        <v>1828</v>
      </c>
      <c r="AG16" s="334"/>
      <c r="AH16" s="334"/>
      <c r="AI16" s="334"/>
      <c r="AJ16" s="334"/>
      <c r="AK16" s="334"/>
      <c r="AL16" s="479"/>
      <c r="AM16" s="335">
        <f>IF(ISNUMBER(Datos!R16),Datos!R16," - ")</f>
        <v>296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220</v>
      </c>
      <c r="BD16" s="229">
        <f>IF(ISNUMBER(Datos!N16),Datos!N16," - ")</f>
        <v>569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0.97160603371783494</v>
      </c>
      <c r="BH16" s="260">
        <f>IF(ISNUMBER(((IF(D_I="SI",Datos!L16/Datos!K16,(Datos!L16+Datos!AF16)/(Datos!K16+Datos!AE16)))*11)/factor_trimestre),((IF(D_I="SI",Datos!L16/Datos!K16,(Datos!L16+Datos!AF16)/(Datos!K16+Datos!AE16)))*11)/factor_trimestre," - ")</f>
        <v>5.0082191780821921</v>
      </c>
      <c r="BI16" s="243">
        <f>IF(ISNUMBER('Resol  Asuntos'!D16/NºAsuntos!G16),'Resol  Asuntos'!D16/NºAsuntos!G16," - ")</f>
        <v>0.20091324200913241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80</v>
      </c>
      <c r="AC17" s="226">
        <f>IF(ISNUMBER(Datos!Q17),Datos!Q17," - ")</f>
        <v>3</v>
      </c>
      <c r="AD17" s="334"/>
      <c r="AE17" s="484"/>
      <c r="AF17" s="332">
        <f>IF(ISNUMBER(Datos!L17),Datos!L17,"-")</f>
        <v>41</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0.88888888888888884</v>
      </c>
      <c r="BH17" s="260">
        <f>IF(ISNUMBER(((IF(D_I="SI",Datos!L17/Datos!K17,(Datos!L17+Datos!AF17)/(Datos!K17+Datos!AE17)))*11)/factor_trimestre),((IF(D_I="SI",Datos!L17/Datos!K17,(Datos!L17+Datos!AF17)/(Datos!K17+Datos!AE17)))*11)/factor_trimestre," - ")</f>
        <v>1.5374999999999999</v>
      </c>
      <c r="BI17" s="243">
        <f>IF(ISNUMBER('Resol  Asuntos'!D17/NºAsuntos!G17),'Resol  Asuntos'!D17/NºAsuntos!G17," - ")</f>
        <v>0.3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1796</v>
      </c>
      <c r="G18" s="898">
        <f>SUBTOTAL(9,G15:G17)</f>
        <v>1827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1175</v>
      </c>
      <c r="AC18" s="899">
        <f t="shared" si="4"/>
        <v>45</v>
      </c>
      <c r="AD18" s="899">
        <f t="shared" si="4"/>
        <v>0</v>
      </c>
      <c r="AE18" s="899">
        <f t="shared" si="4"/>
        <v>0</v>
      </c>
      <c r="AF18" s="899">
        <f t="shared" si="4"/>
        <v>1869</v>
      </c>
      <c r="AG18" s="899">
        <f t="shared" si="4"/>
        <v>0</v>
      </c>
      <c r="AH18" s="899">
        <f t="shared" si="4"/>
        <v>0</v>
      </c>
      <c r="AI18" s="899">
        <f t="shared" si="4"/>
        <v>0</v>
      </c>
      <c r="AJ18" s="899">
        <f t="shared" si="4"/>
        <v>0</v>
      </c>
      <c r="AK18" s="899">
        <f t="shared" si="4"/>
        <v>0</v>
      </c>
      <c r="AL18" s="899">
        <f t="shared" si="4"/>
        <v>0</v>
      </c>
      <c r="AM18" s="899">
        <f t="shared" si="4"/>
        <v>306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244</v>
      </c>
      <c r="BD18" s="899">
        <f t="shared" si="4"/>
        <v>613</v>
      </c>
      <c r="BE18" s="899">
        <f t="shared" si="4"/>
        <v>0</v>
      </c>
      <c r="BF18" s="899">
        <f t="shared" si="4"/>
        <v>0</v>
      </c>
      <c r="BG18" s="899">
        <f>IF(ISNUMBER(Datos!K18/Datos!J18),Datos!K18/Datos!J18," - ")</f>
        <v>0.96548890714872637</v>
      </c>
      <c r="BH18" s="903">
        <f>IF(ISNUMBER(((Datos!L18/Datos!K18)*11)/factor_trimestre),((Datos!L18/Datos!K18)*11)/factor_trimestre," - ")</f>
        <v>4.7719148936170219</v>
      </c>
      <c r="BI18" s="899">
        <f>SUBTOTAL(9,BI15:BI17)</f>
        <v>0.50091324200913245</v>
      </c>
      <c r="BJ18" s="899">
        <f>SUBTOTAL(9,BJ15:BJ17)</f>
        <v>0</v>
      </c>
      <c r="BK18" s="899">
        <f>SUBTOTAL(9,BK15:BK17)</f>
        <v>0</v>
      </c>
      <c r="BL18" s="899">
        <f>IF(ISNUMBER((I18-AB18+L18)/(F18)),(I18-AB18+L18)/(F18)," - ")</f>
        <v>-0.65423162583518935</v>
      </c>
      <c r="BM18" s="905">
        <f>IF(ISNUMBER((Datos!P18-Datos!Q18)/(Datos!R18-Datos!P18+Datos!Q18)),(Datos!P18-Datos!Q18)/(Datos!R18-Datos!P18+Datos!Q18)," - ")</f>
        <v>5.1546391752577317E-2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1824</v>
      </c>
      <c r="G19" s="820">
        <f t="shared" si="6"/>
        <v>1855</v>
      </c>
      <c r="H19" s="822">
        <f t="shared" si="6"/>
        <v>0</v>
      </c>
      <c r="I19" s="820">
        <f t="shared" si="6"/>
        <v>0</v>
      </c>
      <c r="J19" s="822">
        <f t="shared" si="6"/>
        <v>0</v>
      </c>
      <c r="K19" s="822">
        <f t="shared" si="6"/>
        <v>0</v>
      </c>
      <c r="L19" s="881">
        <f t="shared" si="6"/>
        <v>0</v>
      </c>
      <c r="M19" s="881">
        <f t="shared" si="6"/>
        <v>0</v>
      </c>
      <c r="N19" s="881">
        <f t="shared" si="6"/>
        <v>64</v>
      </c>
      <c r="O19" s="881">
        <f t="shared" si="6"/>
        <v>0</v>
      </c>
      <c r="P19" s="881">
        <f t="shared" si="6"/>
        <v>0</v>
      </c>
      <c r="Q19" s="822">
        <f t="shared" si="6"/>
        <v>231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1189</v>
      </c>
      <c r="AC19" s="821">
        <f t="shared" si="7"/>
        <v>115</v>
      </c>
      <c r="AD19" s="821">
        <f t="shared" si="7"/>
        <v>0</v>
      </c>
      <c r="AE19" s="821">
        <f t="shared" si="7"/>
        <v>0</v>
      </c>
      <c r="AF19" s="828">
        <f t="shared" si="7"/>
        <v>1899</v>
      </c>
      <c r="AG19" s="828">
        <f t="shared" si="7"/>
        <v>0</v>
      </c>
      <c r="AH19" s="828">
        <f t="shared" si="7"/>
        <v>65</v>
      </c>
      <c r="AI19" s="828">
        <f t="shared" si="7"/>
        <v>0</v>
      </c>
      <c r="AJ19" s="821">
        <f t="shared" si="7"/>
        <v>0</v>
      </c>
      <c r="AK19" s="828">
        <f t="shared" si="7"/>
        <v>0</v>
      </c>
      <c r="AL19" s="828">
        <f t="shared" si="7"/>
        <v>0</v>
      </c>
      <c r="AM19" s="828">
        <f t="shared" si="7"/>
        <v>2130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451</v>
      </c>
      <c r="BD19" s="820">
        <f t="shared" si="7"/>
        <v>893</v>
      </c>
      <c r="BE19" s="820">
        <f t="shared" si="7"/>
        <v>0</v>
      </c>
      <c r="BF19" s="830">
        <f t="shared" si="7"/>
        <v>0</v>
      </c>
      <c r="BG19" s="915">
        <f>IF(ISNUMBER(Datos!K19/Datos!J19),Datos!K19/Datos!J19," - ")</f>
        <v>0.92623762376237628</v>
      </c>
      <c r="BH19" s="915">
        <f>IF(ISNUMBER(((Datos!L19/Datos!K19)*11)/factor_trimestre),((Datos!L19/Datos!K19)*11)/factor_trimestre," - ")</f>
        <v>6.2645644040619999</v>
      </c>
      <c r="BI19" s="813">
        <f>IF(ISNUMBER(Datos!J19/Datos!I19),Datos!J19/Datos!I19," - ")</f>
        <v>0.53751995742416181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-0.65186403508771928</v>
      </c>
      <c r="BM19" s="889">
        <f>IF(ISNUMBER((Datos!P19-Datos!Q19+R19)/(Datos!R19-Datos!P19+Datos!Q19-R19)),(Datos!P19-Datos!Q19+R19)/(Datos!R19-Datos!P19+Datos!Q19-R19)," - ")</f>
        <v>5.7596822244289969E-2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1020.7552759272584</v>
      </c>
      <c r="G21" s="552">
        <f>IF(ISNUMBER(STDEV(G8:G18)),STDEV(G8:G18),"-")</f>
        <v>976.37774452309179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603.21331218732234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106.01635094015766</v>
      </c>
      <c r="BD21" s="551"/>
      <c r="BE21" s="551">
        <f>IF(ISNUMBER(STDEV(BE8:BE18)),STDEV(BE8:BE18),"-")</f>
        <v>0</v>
      </c>
      <c r="BF21" s="556">
        <f>IF(ISNUMBER(STDEV(BF8:BF18)),STDEV(BF8:BF18),"-")</f>
        <v>0</v>
      </c>
      <c r="BG21" s="775">
        <f>IF(ISNUMBER(STDEV(BG8:BG18)),STDEV(BG8:BG18),"-")</f>
        <v>4.7642880840491585E-2</v>
      </c>
      <c r="BH21" s="776">
        <f>IF(ISNUMBER(STDEV(BH8:BH18)),STDEV(BH8:BH18),"-")</f>
        <v>2.6636719965085813</v>
      </c>
      <c r="BI21" s="249">
        <f>IF(ISNUMBER(STDEV(BI8:BI18)),STDEV(BI8:BI18),"-")</f>
        <v>0.12863126813605699</v>
      </c>
      <c r="BJ21" s="230" t="str">
        <f>IF(ISNUMBER(BL21/BM21),BL21/BM21," - ")</f>
        <v xml:space="preserve"> - </v>
      </c>
      <c r="BK21" s="575"/>
      <c r="BL21" s="559">
        <f>IF(ISNUMBER(STDEV(BL8:BL18)),STDEV(BL8:BL18),"-")</f>
        <v>0.10905822850148958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1AyzFkpFbuy7jKIHJtUAyDsnwBYNwoZYDB/cJFE9mzciwUR0//KzhRzLCIpCzGPYZ8K9j5W7F/JZRBz6RQTqQ==" saltValue="BD3ejDB93pntsH8L9LjS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IRUN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7</v>
      </c>
      <c r="AA10" s="332">
        <f>IF(ISNUMBER(Datos!L10),Datos!L10,"-")</f>
        <v>30</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6</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6.4285714285714279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v>
      </c>
      <c r="AA12" s="332" t="str">
        <f>IF(ISNUMBER(IF(J_V="SI",Datos!L12,Datos!L12+Datos!AB12)-IF(Monitorios="SI",Datos!CD12,0)),
                          IF(J_V="SI",Datos!L12,Datos!L12+Datos!AB12)-IF(Monitorios="SI",Datos!CD12,0),
                          " - ")</f>
        <v xml:space="preserve"> - </v>
      </c>
      <c r="AB12" s="334"/>
      <c r="AC12" s="334"/>
      <c r="AD12" s="484"/>
      <c r="AE12" s="484">
        <f>IF(ISNUMBER(Datos!R12),Datos!R12," - ")</f>
        <v>1810</v>
      </c>
      <c r="AF12" s="229" t="str">
        <f>IF(ISNUMBER(Datos!BV12),Datos!BV12," - ")</f>
        <v xml:space="preserve"> - </v>
      </c>
      <c r="AG12" s="225" t="str">
        <f>IF(ISNUMBER(Datos!DV12),Datos!DV12," - ")</f>
        <v xml:space="preserve"> - </v>
      </c>
      <c r="AH12" s="298"/>
      <c r="AI12" s="227"/>
      <c r="AJ12" s="225">
        <f>IF(ISNUMBER(Datos!M12),Datos!M12," - ")</f>
        <v>201</v>
      </c>
      <c r="AK12" s="229">
        <f>IF(ISNUMBER(Datos!N12),Datos!N12," - ")</f>
        <v>269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8.3141711229946527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5.6625802685347344E-2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171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70</v>
      </c>
      <c r="AA13" s="900">
        <f t="shared" si="2"/>
        <v>30</v>
      </c>
      <c r="AB13" s="900">
        <f t="shared" si="2"/>
        <v>0</v>
      </c>
      <c r="AC13" s="900">
        <f t="shared" si="2"/>
        <v>0</v>
      </c>
      <c r="AD13" s="900">
        <f t="shared" si="2"/>
        <v>0</v>
      </c>
      <c r="AE13" s="900">
        <f t="shared" si="2"/>
        <v>1824</v>
      </c>
      <c r="AF13" s="908">
        <f t="shared" si="2"/>
        <v>0</v>
      </c>
      <c r="AG13" s="908">
        <f t="shared" si="2"/>
        <v>0</v>
      </c>
      <c r="AH13" s="908">
        <f t="shared" si="2"/>
        <v>0</v>
      </c>
      <c r="AI13" s="908">
        <f t="shared" si="2"/>
        <v>0</v>
      </c>
      <c r="AJ13" s="908">
        <f t="shared" si="2"/>
        <v>207</v>
      </c>
      <c r="AK13" s="908">
        <f t="shared" si="2"/>
        <v>280</v>
      </c>
      <c r="AL13" s="908">
        <f t="shared" si="2"/>
        <v>0</v>
      </c>
      <c r="AM13" s="908">
        <f t="shared" si="2"/>
        <v>0</v>
      </c>
      <c r="AN13" s="908">
        <f t="shared" si="2"/>
        <v>0</v>
      </c>
      <c r="AO13" s="904">
        <f>IF(ISNUMBER(((NºAsuntos!I13/NºAsuntos!G13)*11)/factor_trimestre),((NºAsuntos!I13/NºAsuntos!G13)*11)/factor_trimestre," - ")</f>
        <v>8.2795275590551185</v>
      </c>
      <c r="AP13" s="910" t="str">
        <f>IF(ISNUMBER(Datos!CI13/Datos!CJ13),Datos!CI13/Datos!CJ13," - ")</f>
        <v xml:space="preserve"> - </v>
      </c>
      <c r="AQ13" s="928">
        <f t="shared" ref="AQ13:AV13" si="3">SUBTOTAL(9,AQ9:AQ12)</f>
        <v>0</v>
      </c>
      <c r="AR13" s="928">
        <f t="shared" si="3"/>
        <v>0.45662580268534736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1796</v>
      </c>
      <c r="G16" s="225">
        <f>IF(ISNUMBER(IF(D_I="SI",Datos!I16,Datos!I16+Datos!AC16)),IF(D_I="SI",Datos!I16,Datos!I16+Datos!AC16)," - ")</f>
        <v>1796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1095</v>
      </c>
      <c r="Z16" s="619">
        <f>IF(ISNUMBER(Datos!Q16),Datos!Q16," - ")</f>
        <v>42</v>
      </c>
      <c r="AA16" s="332">
        <f>IF(ISNUMBER(IF(D_I="SI",Datos!L16,Datos!L16+Datos!AF16)),IF(D_I="SI",Datos!L16,Datos!L16+Datos!AF16)," - ")</f>
        <v>1828</v>
      </c>
      <c r="AB16" s="334"/>
      <c r="AC16" s="334"/>
      <c r="AD16" s="484"/>
      <c r="AE16" s="484">
        <f>IF(ISNUMBER(Datos!R16),Datos!R16," - ")</f>
        <v>296</v>
      </c>
      <c r="AF16" s="229" t="str">
        <f>IF(ISNUMBER(Datos!BV16),Datos!BV16," - ")</f>
        <v xml:space="preserve"> - </v>
      </c>
      <c r="AG16" s="225"/>
      <c r="AH16" s="298"/>
      <c r="AI16" s="227"/>
      <c r="AJ16" s="225">
        <f>IF(ISNUMBER(Datos!M16),Datos!M16," - ")</f>
        <v>220</v>
      </c>
      <c r="AK16" s="229">
        <f>IF(ISNUMBER(Datos!N16),Datos!N16," - ")</f>
        <v>569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5.0082191780821921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80</v>
      </c>
      <c r="Z17" s="619">
        <f>IF(ISNUMBER(Datos!Q17),Datos!Q17," - ")</f>
        <v>3</v>
      </c>
      <c r="AA17" s="332">
        <f>IF(ISNUMBER(Datos!L17),Datos!L17,"-")</f>
        <v>41</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24</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1.5374999999999999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1796</v>
      </c>
      <c r="G18" s="898">
        <f>SUBTOTAL(9,G15:G17)</f>
        <v>1827</v>
      </c>
      <c r="H18" s="932">
        <f>SUBTOTAL(9,H15:H17)</f>
        <v>0</v>
      </c>
      <c r="I18" s="911">
        <f>SUBTOTAL(9,I15:I17)</f>
        <v>0</v>
      </c>
      <c r="J18" s="867">
        <f>SUBTOTAL(9,J14:J17)</f>
        <v>0</v>
      </c>
      <c r="K18" s="932">
        <f t="shared" ref="K18:S18" si="4">SUBTOTAL(9,K15:K17)</f>
        <v>0</v>
      </c>
      <c r="L18" s="932">
        <f t="shared" si="4"/>
        <v>0</v>
      </c>
      <c r="M18" s="932">
        <f t="shared" si="4"/>
        <v>0</v>
      </c>
      <c r="N18" s="932">
        <f t="shared" si="4"/>
        <v>60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1175</v>
      </c>
      <c r="Z18" s="932">
        <f t="shared" si="5"/>
        <v>45</v>
      </c>
      <c r="AA18" s="932">
        <f t="shared" si="5"/>
        <v>1869</v>
      </c>
      <c r="AB18" s="932">
        <f t="shared" si="5"/>
        <v>0</v>
      </c>
      <c r="AC18" s="932">
        <f t="shared" si="5"/>
        <v>0</v>
      </c>
      <c r="AD18" s="932">
        <f t="shared" si="5"/>
        <v>0</v>
      </c>
      <c r="AE18" s="932">
        <f t="shared" si="5"/>
        <v>306</v>
      </c>
      <c r="AF18" s="932">
        <f t="shared" si="5"/>
        <v>0</v>
      </c>
      <c r="AG18" s="932">
        <f t="shared" si="5"/>
        <v>0</v>
      </c>
      <c r="AH18" s="932">
        <f t="shared" si="5"/>
        <v>0</v>
      </c>
      <c r="AI18" s="932">
        <f t="shared" si="5"/>
        <v>0</v>
      </c>
      <c r="AJ18" s="932">
        <f t="shared" si="5"/>
        <v>244</v>
      </c>
      <c r="AK18" s="932">
        <f t="shared" si="5"/>
        <v>613</v>
      </c>
      <c r="AL18" s="932">
        <f t="shared" si="5"/>
        <v>0</v>
      </c>
      <c r="AM18" s="932">
        <f t="shared" si="5"/>
        <v>0</v>
      </c>
      <c r="AN18" s="932">
        <f t="shared" si="5"/>
        <v>0</v>
      </c>
      <c r="AO18" s="934">
        <f>IF(ISNUMBER(((NºAsuntos!I18/NºAsuntos!G18)*11)/factor_trimestre),((NºAsuntos!I18/NºAsuntos!G18)*11)/factor_trimestre," - ")</f>
        <v>4.7719148936170219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1824</v>
      </c>
      <c r="G19" s="820">
        <f t="shared" si="7"/>
        <v>1855</v>
      </c>
      <c r="H19" s="821">
        <f t="shared" si="7"/>
        <v>0</v>
      </c>
      <c r="I19" s="820">
        <f t="shared" si="7"/>
        <v>0</v>
      </c>
      <c r="J19" s="822">
        <f t="shared" si="7"/>
        <v>0</v>
      </c>
      <c r="K19" s="820">
        <f t="shared" si="7"/>
        <v>0</v>
      </c>
      <c r="L19" s="823">
        <f t="shared" si="7"/>
        <v>0</v>
      </c>
      <c r="M19" s="820">
        <f t="shared" si="7"/>
        <v>0</v>
      </c>
      <c r="N19" s="821">
        <f t="shared" si="7"/>
        <v>231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1189</v>
      </c>
      <c r="Z19" s="827">
        <f t="shared" si="8"/>
        <v>115</v>
      </c>
      <c r="AA19" s="828">
        <f t="shared" si="8"/>
        <v>1899</v>
      </c>
      <c r="AB19" s="828">
        <f t="shared" si="8"/>
        <v>0</v>
      </c>
      <c r="AC19" s="828">
        <f t="shared" si="8"/>
        <v>0</v>
      </c>
      <c r="AD19" s="829">
        <f t="shared" si="8"/>
        <v>0</v>
      </c>
      <c r="AE19" s="829">
        <f t="shared" si="8"/>
        <v>2130</v>
      </c>
      <c r="AF19" s="830">
        <f t="shared" si="8"/>
        <v>0</v>
      </c>
      <c r="AG19" s="831">
        <f t="shared" si="8"/>
        <v>0</v>
      </c>
      <c r="AH19" s="832">
        <f t="shared" si="8"/>
        <v>0</v>
      </c>
      <c r="AI19" s="830">
        <f t="shared" si="8"/>
        <v>0</v>
      </c>
      <c r="AJ19" s="820">
        <f t="shared" si="8"/>
        <v>451</v>
      </c>
      <c r="AK19" s="820">
        <f t="shared" si="8"/>
        <v>893</v>
      </c>
      <c r="AL19" s="820">
        <f t="shared" si="8"/>
        <v>0</v>
      </c>
      <c r="AM19" s="833">
        <f t="shared" si="8"/>
        <v>0</v>
      </c>
      <c r="AN19" s="823">
        <f>IF(ISNUMBER(Datos!K19/Datos!J19),Datos!K19/Datos!J19," - ")</f>
        <v>0.92623762376237628</v>
      </c>
      <c r="AO19" s="823">
        <f>IF(ISNUMBER(FIND("06",Criterios!A8,1)),(IF(ISNUMBER(((Datos!R19/Datos!Q19)*11)/factor_trimestre),((Datos!R19/Datos!Q19)*11)/factor_trimestre," - ")),(IF(ISNUMBER(((Datos!L19/Datos!K19)*11)/factor_trimestre),((Datos!L19/Datos!K19)*11)/factor_trimestre," - ")))</f>
        <v>6.2645644040619999</v>
      </c>
      <c r="AP19" s="834" t="str">
        <f>IF(ISNUMBER(Datos!CI19/Datos!CJ19),Datos!CI19/Datos!CJ19," - ")</f>
        <v xml:space="preserve"> - </v>
      </c>
      <c r="AQ19" s="834">
        <f>IF(OR(ISNUMBER(FIND("01",Criterios!A8,1)),ISNUMBER(FIND("02",Criterios!A8,1)),ISNUMBER(FIND("03",Criterios!A8,1)),ISNUMBER(FIND("04",Criterios!A8,1))),(J19-Y19+K19)/(F19-K19),(I19-Y19+K19)/(F19-K19))</f>
        <v>-0.65186403508771928</v>
      </c>
      <c r="AR19" s="834">
        <f>IF(ISNUMBER((Datos!P19-Datos!Q19+O19)/(Datos!R19-Datos!P19+Datos!Q19-O19)),(Datos!P19-Datos!Q19+O19)/(Datos!R19-Datos!P19+Datos!Q19-O19)," - ")</f>
        <v>5.7596822244289969E-2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1020.7552759272584</v>
      </c>
      <c r="G21" s="552">
        <f>IF(ISNUMBER(STDEV(G8:G18)),STDEV(G8:G18),"-")</f>
        <v>976.37774452309179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106.01635094015766</v>
      </c>
      <c r="AK21" s="252"/>
      <c r="AL21" s="252">
        <f>IF(ISNUMBER(STDEV(AL8:AL18)),STDEV(AL8:AL18),"-")</f>
        <v>0</v>
      </c>
      <c r="AM21" s="254">
        <f>IF(ISNUMBER(STDEV(AM8:AM18)),STDEV(AM8:AM18),"-")</f>
        <v>0</v>
      </c>
      <c r="AN21" s="539">
        <f>IF(ISNUMBER(STDEV(AN8:AN18)),STDEV(AN8:AN18),"-")</f>
        <v>0</v>
      </c>
      <c r="AO21" s="540">
        <f>IF(ISNUMBER(STDEV(AO8:AO18)),STDEV(AO8:AO18),"-")</f>
        <v>2.5566273149723089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zC9zBSeMzjuuAoQHuPP9TgPpCa5a9l1hylpeb4XUgt3CrKTAx7yDWn02LaCG1+/rOqIWQd150D0dPXuVoSv8fQ==" saltValue="MnkQm+yx+qm5IL5EqPKt0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W972OOrQQOrl7NV6pzIntfX8Ml0s0kn8yasV4Wt7YWVM+CiQNTQK0kdlERQNd4QeZJNtUvaUfvRdxvmXUMX2w==" saltValue="vrBIN+2BHutoCBSx0S5e9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VRprT95ZT2nFGE0MaLlNw6CnlS/K1K5NeU+4DsiNYZavJvCX97Jkazk46yvWZajvNsfY73qzLLoUsHC7IAQ6A==" saltValue="EkyfMk9uEPD7WRbiNTPXs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0.27165354330708663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0.19208806260579442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V0hYGHxAZFnnqxSAVTkb2VQdPHQz6fCyYoy5CPl1hbcE2TckfMJGIgKw5ahjhh5o4xlYFFVbdNup2Bh9Q1pCA==" saltValue="guTEm4F7r2rMibTo/Kg7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QbkQa7E7z+YUscE/ZI8vG6FxjbF1AZ/gFou7ErzuTVGhN/0HiQrZiK58fKC4TmQwScUAyh0D4qG7ZKptYbrHg==" saltValue="iEAF1ejI/cNCcxn/ojF/7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IRUN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16</v>
      </c>
      <c r="F10" s="404">
        <f>IF(ISNUMBER(E10/B10),E10/B10," - ")</f>
        <v>16</v>
      </c>
      <c r="G10" s="403">
        <f>IF(ISNUMBER(Datos!K10),Datos!K10," - ")</f>
        <v>14</v>
      </c>
      <c r="H10" s="404">
        <f>IF(ISNUMBER(G10/B10),G10/B10," - ")</f>
        <v>14</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1970</v>
      </c>
      <c r="D12" s="404">
        <f>IF(ISNUMBER(C12/Datos!BH12),C12/Datos!BH12," - ")</f>
        <v>394</v>
      </c>
      <c r="E12" s="403">
        <f>IF(ISNUMBER(IF(J_V="SI",Datos!J12,Datos!J12+Datos!Z12)),IF(J_V="SI",Datos!J12,Datos!J12+Datos!Z12)," - ")</f>
        <v>851</v>
      </c>
      <c r="F12" s="404">
        <f>IF(ISNUMBER(E12/B12),E12/B12," - ")</f>
        <v>170.2</v>
      </c>
      <c r="G12" s="403">
        <f>IF(ISNUMBER(IF(J_V="SI",Datos!K12,Datos!K12+Datos!AA12)),IF(J_V="SI",Datos!K12,Datos!K12+Datos!AA12)," - ")</f>
        <v>748</v>
      </c>
      <c r="H12" s="404">
        <f>IF(ISNUMBER(G12/B12),G12/B12," - ")</f>
        <v>149.6</v>
      </c>
      <c r="I12" s="403">
        <f>IF(ISNUMBER(IF(J_V="SI",Datos!L12,Datos!L12+Datos!AB12)),IF(J_V="SI",Datos!L12,Datos!L12+Datos!AB12)," - ")</f>
        <v>2073</v>
      </c>
      <c r="J12" s="404">
        <f>IF(ISNUMBER(I12/B12),I12/B12," - ")</f>
        <v>414.6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1998</v>
      </c>
      <c r="D13" s="850" t="str">
        <f>IF(ISNUMBER(C13/Datos!BI13),C13/Datos!BI13," - ")</f>
        <v xml:space="preserve"> - </v>
      </c>
      <c r="E13" s="849">
        <f>SUBTOTAL(9,E8:E12)</f>
        <v>867</v>
      </c>
      <c r="F13" s="850">
        <f>IF(ISNUMBER(E13/B13),E13/B13," - ")</f>
        <v>173.4</v>
      </c>
      <c r="G13" s="849">
        <f>SUBTOTAL(9,G8:G12)</f>
        <v>762</v>
      </c>
      <c r="H13" s="850">
        <f>IF(ISNUMBER(G13/B13),G13/B13," - ")</f>
        <v>152.4</v>
      </c>
      <c r="I13" s="849">
        <f>SUBTOTAL(9,I8:I12)</f>
        <v>2103</v>
      </c>
      <c r="J13" s="850">
        <f>IF(ISNUMBER(I13/B13),I13/B13," - ")</f>
        <v>420.6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1796</v>
      </c>
      <c r="D16" s="404">
        <f>IF(ISNUMBER(C16/Datos!BH16),C16/Datos!BH16," - ")</f>
        <v>359.2</v>
      </c>
      <c r="E16" s="403">
        <f>IF(ISNUMBER(IF(D_I="SI",Datos!J16,Datos!J16+Datos!AD16)),IF(D_I="SI",Datos!J16,Datos!J16+Datos!AD16)," - ")</f>
        <v>1127</v>
      </c>
      <c r="F16" s="404">
        <f>IF(ISNUMBER(E16/B16),E16/B16," - ")</f>
        <v>225.4</v>
      </c>
      <c r="G16" s="403">
        <f>IF(ISNUMBER(IF(D_I="SI",Datos!K16,Datos!K16+Datos!AE16)),IF(D_I="SI",Datos!K16,Datos!K16+Datos!AE16)," - ")</f>
        <v>1095</v>
      </c>
      <c r="H16" s="404">
        <f>IF(ISNUMBER(G16/B16),G16/B16," - ")</f>
        <v>219</v>
      </c>
      <c r="I16" s="403">
        <f>IF(ISNUMBER(IF(D_I="SI",Datos!L16,Datos!L16+Datos!AF16)),IF(D_I="SI",Datos!L16,Datos!L16+Datos!AF16)," - ")</f>
        <v>1828</v>
      </c>
      <c r="J16" s="404">
        <f>IF(ISNUMBER(I16/B16),I16/B16," - ")</f>
        <v>365.6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90</v>
      </c>
      <c r="F17" s="404">
        <f>IF(ISNUMBER(E17/B17),E17/B17," - ")</f>
        <v>90</v>
      </c>
      <c r="G17" s="403">
        <f>IF(ISNUMBER(IF(D_I="SI",Datos!K17,Datos!K17+Datos!AE17)),IF(D_I="SI",Datos!K17,Datos!K17+Datos!AE17)," - ")</f>
        <v>80</v>
      </c>
      <c r="H17" s="404">
        <f>IF(ISNUMBER(G17/B17),G17/B17," - ")</f>
        <v>80</v>
      </c>
      <c r="I17" s="403">
        <f>IF(ISNUMBER(IF(D_I="SI",Datos!L17,Datos!L17+Datos!AF17)),IF(D_I="SI",Datos!L17,Datos!L17+Datos!AF17)," - ")</f>
        <v>41</v>
      </c>
      <c r="J17" s="404">
        <f>IF(ISNUMBER(I17/B17),I17/B17," - ")</f>
        <v>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1827</v>
      </c>
      <c r="D18" s="850" t="str">
        <f>IF(ISNUMBER(C18/Datos!BI18),C18/Datos!BI18," - ")</f>
        <v xml:space="preserve"> - </v>
      </c>
      <c r="E18" s="849">
        <f>SUBTOTAL(9,E14:E17)</f>
        <v>1217</v>
      </c>
      <c r="F18" s="850">
        <f>IF(ISNUMBER(E18/B18),E18/B18," - ")</f>
        <v>243.4</v>
      </c>
      <c r="G18" s="849">
        <f>SUBTOTAL(9,G14:G17)</f>
        <v>1175</v>
      </c>
      <c r="H18" s="850">
        <f>IF(ISNUMBER(G18/B18),G18/B18," - ")</f>
        <v>235</v>
      </c>
      <c r="I18" s="849">
        <f>SUBTOTAL(9,I14:I17)</f>
        <v>1869</v>
      </c>
      <c r="J18" s="850">
        <f>IF(ISNUMBER(I18/B18),I18/B18," - ")</f>
        <v>373.8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3825</v>
      </c>
      <c r="D19" s="795" t="str">
        <f>IF(ISNUMBER(C19/Datos!BI19),C19/Datos!BI19," - ")</f>
        <v xml:space="preserve"> - </v>
      </c>
      <c r="E19" s="794">
        <f>SUBTOTAL(9,E9:E18)</f>
        <v>2084</v>
      </c>
      <c r="F19" s="795">
        <f>IF(ISNUMBER(E19/B19),E19/B19," - ")</f>
        <v>416.8</v>
      </c>
      <c r="G19" s="794">
        <f>SUBTOTAL(9,G9:G18)</f>
        <v>1937</v>
      </c>
      <c r="H19" s="795">
        <f>IF(ISNUMBER(G19/B19),G19/B19," - ")</f>
        <v>387.4</v>
      </c>
      <c r="I19" s="794">
        <f>SUBTOTAL(9,I9:I18)</f>
        <v>3972</v>
      </c>
      <c r="J19" s="795">
        <f>IF(ISNUMBER(I19/B19),I19/B19," - ")</f>
        <v>794.4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8TPzTAAOnzqm3mkQ+yYVmELC0TMSvJ3Kx9pLt8EBjjF/9cLDnNppdEHxfhCNx32irxHVwQe4koK23ooCde1gQ==" saltValue="3F9hpnQ/J7br4e5L5qRA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IRUN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6.4285714285714279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201</v>
      </c>
      <c r="AM12" s="690">
        <f>IF(ISNUMBER(Datos!N12+DatosP!N16),Datos!N12+DatosP!N16," - ")</f>
        <v>269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8.3141711229946527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5.6625802685347344E-2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171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63</v>
      </c>
      <c r="AE13" s="939">
        <f t="shared" si="1"/>
        <v>0</v>
      </c>
      <c r="AF13" s="939">
        <f t="shared" si="1"/>
        <v>30</v>
      </c>
      <c r="AG13" s="939">
        <f t="shared" si="1"/>
        <v>0</v>
      </c>
      <c r="AH13" s="939">
        <f t="shared" si="1"/>
        <v>1810</v>
      </c>
      <c r="AI13" s="939">
        <f t="shared" si="1"/>
        <v>0</v>
      </c>
      <c r="AJ13" s="939">
        <f t="shared" si="1"/>
        <v>0</v>
      </c>
      <c r="AK13" s="939">
        <f t="shared" si="1"/>
        <v>0</v>
      </c>
      <c r="AL13" s="939">
        <f t="shared" si="1"/>
        <v>207</v>
      </c>
      <c r="AM13" s="939">
        <f t="shared" si="1"/>
        <v>280</v>
      </c>
      <c r="AN13" s="939">
        <f t="shared" si="1"/>
        <v>0</v>
      </c>
      <c r="AO13" s="939">
        <f t="shared" si="1"/>
        <v>0</v>
      </c>
      <c r="AP13" s="944">
        <f>IF(ISNUMBER(((Datos!L13/Datos!K13)*11)/factor_trimestre),((Datos!L13/Datos!K13)*11)/factor_trimestre," - ")</f>
        <v>8.7844827586206904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5.6625802685347344E-2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4.7719148936170219</v>
      </c>
      <c r="AQ18" s="944">
        <f>IF(ISNUMBER(((Datos!M18/Datos!L18)*11)/factor_trimestre),((Datos!M18/Datos!L18)*11)/factor_trimestre," - ")</f>
        <v>0.39165329052969505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5.1546391752577317E-2</v>
      </c>
      <c r="AW18" s="946">
        <f>IF(ISNUMBER((Datos!Q18-Datos!R18)/(Datos!S18-Datos!Q18+Datos!R18)),(Datos!Q18-Datos!R18)/(Datos!S18-Datos!Q18+Datos!R18)," - ")</f>
        <v>-0.1262699564586357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171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63</v>
      </c>
      <c r="AE19" s="957">
        <f t="shared" si="5"/>
        <v>0</v>
      </c>
      <c r="AF19" s="958">
        <f t="shared" si="5"/>
        <v>30</v>
      </c>
      <c r="AG19" s="958">
        <f t="shared" si="5"/>
        <v>0</v>
      </c>
      <c r="AH19" s="958">
        <f t="shared" si="5"/>
        <v>1810</v>
      </c>
      <c r="AI19" s="958">
        <f t="shared" si="5"/>
        <v>0</v>
      </c>
      <c r="AJ19" s="959">
        <f t="shared" si="5"/>
        <v>0</v>
      </c>
      <c r="AK19" s="959">
        <f t="shared" si="5"/>
        <v>0</v>
      </c>
      <c r="AL19" s="951">
        <f t="shared" si="5"/>
        <v>207</v>
      </c>
      <c r="AM19" s="951">
        <f t="shared" si="5"/>
        <v>280</v>
      </c>
      <c r="AN19" s="951">
        <f t="shared" si="5"/>
        <v>0</v>
      </c>
      <c r="AO19" s="951">
        <f t="shared" si="5"/>
        <v>0</v>
      </c>
      <c r="AP19" s="951">
        <f>IF(ISNUMBER(((Datos!L19/Datos!K19)*11)/factor_trimestre),((Datos!L19/Datos!K19)*11)/factor_trimestre," - ")</f>
        <v>6.2645644040619999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5.7596822244289969E-2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116.09909560371261</v>
      </c>
      <c r="AM21" s="736"/>
      <c r="AN21" s="736">
        <f>IF(ISNUMBER(STDEV(AN8:AN18)),STDEV(AN8:AN18),"-")</f>
        <v>0</v>
      </c>
      <c r="AO21" s="742">
        <f>IF(ISNUMBER(STDEV(AO8:AO18)),STDEV(AO8:AO18),"-")</f>
        <v>0</v>
      </c>
      <c r="AP21" s="779">
        <f>IF(ISNUMBER(STDEV(AP8:AP18)),STDEV(AP8:AP18),"-")</f>
        <v>1.8420954639101565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aE+0aTkBC1y7xxJZA2r3XP3jolqM6V3sS4vmoY0tf7JnfOWV62LmFxZR8T3F6kzY1f55hwM6QkxK/7Q9Wq1YQ==" saltValue="jrvd8ph/0ctcizmGGmdde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IRUN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d9gH0Vg+VpuUg6MYhc8379rcA1H3V7s3sF2ybRD9GmoaR2YZspZErKyxgrOTYyzyBt9Hha/wvK+Z3gpfUE7mqw==" saltValue="2SG/3zRFrTBIk8hMpV/H6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IRUN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11</v>
      </c>
      <c r="G10" s="404">
        <f>IF(ISNUMBER(F10/B10),F10/B10," - ")</f>
        <v>11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201</v>
      </c>
      <c r="E12" s="404">
        <f t="shared" si="0"/>
        <v>40.200000000000003</v>
      </c>
      <c r="F12" s="403">
        <f>IF(ISNUMBER(Datos!N12),Datos!N12," - ")</f>
        <v>269</v>
      </c>
      <c r="G12" s="404">
        <f t="shared" si="1"/>
        <v>53.8</v>
      </c>
      <c r="H12" s="403">
        <f>IF(ISNUMBER(Datos!O12),Datos!O12," - ")</f>
        <v>278</v>
      </c>
      <c r="I12" s="404">
        <f t="shared" si="2"/>
        <v>55.6</v>
      </c>
      <c r="BZ12" s="1186">
        <f>Datos!EZ12</f>
        <v>0</v>
      </c>
    </row>
    <row r="13" spans="1:78" ht="14.25" thickTop="1" thickBot="1">
      <c r="A13" s="848" t="str">
        <f>Datos!A13</f>
        <v>TOTAL</v>
      </c>
      <c r="B13" s="849">
        <f>Datos!AP13</f>
        <v>5</v>
      </c>
      <c r="C13" s="851">
        <f>Datos!AR13</f>
        <v>5</v>
      </c>
      <c r="D13" s="849">
        <f>SUBTOTAL(9,D9:D12)</f>
        <v>207</v>
      </c>
      <c r="E13" s="850">
        <f t="shared" si="0"/>
        <v>41.4</v>
      </c>
      <c r="F13" s="849">
        <f>SUBTOTAL(9,F9:F12)</f>
        <v>280</v>
      </c>
      <c r="G13" s="850">
        <f t="shared" si="1"/>
        <v>56</v>
      </c>
      <c r="H13" s="849">
        <f>SUBTOTAL(9,H9:H12)</f>
        <v>278</v>
      </c>
      <c r="I13" s="850">
        <f>IF(ISNUMBER(H13/B13),H13/B13," - ")</f>
        <v>55.6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220</v>
      </c>
      <c r="E16" s="404">
        <f t="shared" si="3"/>
        <v>44</v>
      </c>
      <c r="F16" s="403">
        <f>IF(ISNUMBER(Datos!N16),Datos!N16," - ")</f>
        <v>569</v>
      </c>
      <c r="G16" s="404">
        <f t="shared" si="4"/>
        <v>113.8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24</v>
      </c>
      <c r="E17" s="404">
        <f>IF(ISNUMBER(D17/B17),D17/B17," - ")</f>
        <v>24</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244</v>
      </c>
      <c r="E18" s="850">
        <f t="shared" si="3"/>
        <v>48.8</v>
      </c>
      <c r="F18" s="849">
        <f>SUBTOTAL(9,F15:F17)</f>
        <v>613</v>
      </c>
      <c r="G18" s="850">
        <f t="shared" si="4"/>
        <v>122.6</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451</v>
      </c>
      <c r="E19" s="795">
        <f>IF(ISNUMBER(D19/B19),D19/B19," - ")</f>
        <v>90.2</v>
      </c>
      <c r="F19" s="794">
        <f>SUBTOTAL(9,F8:F18)</f>
        <v>893</v>
      </c>
      <c r="G19" s="795">
        <f>IF(ISNUMBER(F19/B19),F19/B19," - ")</f>
        <v>178.6</v>
      </c>
      <c r="H19" s="794">
        <f>SUBTOTAL(9,H8:H18)</f>
        <v>278</v>
      </c>
      <c r="I19" s="795">
        <f>IF(ISNUMBER(H19/B19),H19/B19," - ")</f>
        <v>55.6</v>
      </c>
    </row>
    <row r="22" spans="1:78">
      <c r="A22" s="391" t="str">
        <f>Criterios!A4</f>
        <v>Fecha Informe: 24 sep. 2024</v>
      </c>
    </row>
    <row r="27" spans="1:78">
      <c r="A27" s="414"/>
    </row>
  </sheetData>
  <sheetProtection algorithmName="SHA-512" hashValue="JwBdskxzjHvQ01WNB9B5oG/R8UUOQmmS5npsZZsH8tvG/0gjMDbmmyLS+PgofyqRZ9tLcN4QsL3B2PY24GN40w==" saltValue="67uxSyXAosSf7EIOp6cK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IRUN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11</v>
      </c>
      <c r="C10" s="434">
        <f>IF(ISNUMBER(Datos!Q10),Datos!Q10," - ")</f>
        <v>7</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160</v>
      </c>
      <c r="C12" s="434">
        <f>IF(ISNUMBER(Datos!Q12),Datos!Q12," - ")</f>
        <v>63</v>
      </c>
      <c r="D12" s="408">
        <f>IF(ISNUMBER(Datos!R12),Datos!R12," - ")</f>
        <v>1810</v>
      </c>
    </row>
    <row r="13" spans="1:4" ht="14.25" thickTop="1" thickBot="1">
      <c r="A13" s="848" t="str">
        <f>Datos!A13</f>
        <v>TOTAL</v>
      </c>
      <c r="B13" s="849">
        <f>SUBTOTAL(9,B9:B12)</f>
        <v>171</v>
      </c>
      <c r="C13" s="853">
        <f>SUBTOTAL(9,C9:C12)</f>
        <v>70</v>
      </c>
      <c r="D13" s="851">
        <f>SUBTOTAL(9,D9:D12)</f>
        <v>1824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57</v>
      </c>
      <c r="C16" s="434">
        <f>IF(ISNUMBER(Datos!Q16),Datos!Q16," - ")</f>
        <v>42</v>
      </c>
      <c r="D16" s="408">
        <f>IF(ISNUMBER(Datos!R16),Datos!R16," - ")</f>
        <v>296</v>
      </c>
    </row>
    <row r="17" spans="1:4" ht="13.5" thickBot="1">
      <c r="A17" s="402" t="str">
        <f>Datos!A17</f>
        <v>Jdos. Violencia contra la mujer</v>
      </c>
      <c r="B17" s="433">
        <f>IF(ISNUMBER(Datos!P17),Datos!P17," - ")</f>
        <v>3</v>
      </c>
      <c r="C17" s="434">
        <f>IF(ISNUMBER(Datos!Q17),Datos!Q17," - ")</f>
        <v>3</v>
      </c>
      <c r="D17" s="408">
        <f>IF(ISNUMBER(Datos!R17),Datos!R17," - ")</f>
        <v>10</v>
      </c>
    </row>
    <row r="18" spans="1:4" ht="14.25" thickTop="1" thickBot="1">
      <c r="A18" s="848" t="str">
        <f>Datos!A18</f>
        <v>TOTAL</v>
      </c>
      <c r="B18" s="849">
        <f>SUBTOTAL(9,B15:B17)</f>
        <v>60</v>
      </c>
      <c r="C18" s="853">
        <f>SUBTOTAL(9,C15:C17)</f>
        <v>45</v>
      </c>
      <c r="D18" s="851">
        <f>SUBTOTAL(9,D15:D17)</f>
        <v>306</v>
      </c>
    </row>
    <row r="19" spans="1:4" ht="16.5" customHeight="1" thickTop="1" thickBot="1">
      <c r="A19" s="793" t="str">
        <f>Datos!A19</f>
        <v>TOTAL JURISDICCIONES</v>
      </c>
      <c r="B19" s="798">
        <f>SUBTOTAL(9,B8:B18)</f>
        <v>231</v>
      </c>
      <c r="C19" s="799">
        <f>SUBTOTAL(9,C8:C18)</f>
        <v>115</v>
      </c>
      <c r="D19" s="800">
        <f>SUBTOTAL(9,D8:D18)</f>
        <v>2130</v>
      </c>
    </row>
    <row r="20" spans="1:4" ht="7.5" customHeight="1"/>
    <row r="21" spans="1:4" ht="6" customHeight="1"/>
    <row r="22" spans="1:4">
      <c r="A22" s="391" t="str">
        <f>Criterios!A4</f>
        <v>Fecha Informe: 24 sep. 2024</v>
      </c>
    </row>
    <row r="27" spans="1:4">
      <c r="A27" s="414"/>
    </row>
  </sheetData>
  <sheetProtection algorithmName="SHA-512" hashValue="FXL0Y3p+XkFRVkTOyF++Mk++1WKRiX/aCzg/meylYlg1g6ZAI2ib9yps/2KJSElgM54P7sC2amZatynKE5zz3Q==" saltValue="bqWK7dwY+EL9wxnemZOd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IRUN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7.6923076923076927E-2</v>
      </c>
      <c r="C10" s="456">
        <f>IF(ISNUMBER((Datos!J10-Datos!T10)/Datos!T10),(Datos!J10-Datos!T10)/Datos!T10," - ")</f>
        <v>0.6</v>
      </c>
      <c r="D10" s="456">
        <f>IF(ISNUMBER((Datos!K10-Datos!U10)/Datos!U10),(Datos!K10-Datos!U10)/Datos!U10," - ")</f>
        <v>1</v>
      </c>
      <c r="E10" s="456">
        <f>IF(ISNUMBER((Datos!L10-Datos!V10)/Datos!V10),(Datos!L10-Datos!V10)/Datos!V10," - ")</f>
        <v>3.4482758620689655E-2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0.25000000000000006</v>
      </c>
      <c r="I10" s="456">
        <f>IF(ISNUMBER(((NºAsuntos!I10/NºAsuntos!G10)-Datos!BE10)/Datos!BE10),((NºAsuntos!I10/NºAsuntos!G10)-Datos!BE10)/Datos!BE10," - ")</f>
        <v>-0.48275862068965525</v>
      </c>
      <c r="J10" s="461">
        <f>IF(ISNUMBER((('Resol  Asuntos'!D10/NºAsuntos!G10)-Datos!BF10)/Datos!BF10),(('Resol  Asuntos'!D10/NºAsuntos!G10)-Datos!BF10)/Datos!BF10," - ")</f>
        <v>0</v>
      </c>
      <c r="K10" s="462">
        <f>IF(ISNUMBER((((NºAsuntos!C10+NºAsuntos!E10)/NºAsuntos!G10)-Datos!BG10)/Datos!BG10),(((NºAsuntos!C10+NºAsuntos!E10)/NºAsuntos!G10)-Datos!BG10)/Datos!BG10," - ")</f>
        <v>-0.38888888888888895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0.48567119155354449</v>
      </c>
      <c r="C12" s="456">
        <f>IF(ISNUMBER(
   IF(J_V="SI",(Datos!J12-Datos!T12)/Datos!T12,(Datos!J12+Datos!Z12-(Datos!T12+Datos!AH12))/(Datos!T12+Datos!AH12))
     ),IF(J_V="SI",(Datos!J12-Datos!T12)/Datos!T12,(Datos!J12+Datos!Z12-(Datos!T12+Datos!AH12))/(Datos!T12+Datos!AH12))," - ")</f>
        <v>-1.1614401858304297E-2</v>
      </c>
      <c r="D12" s="456">
        <f>IF(ISNUMBER(
   IF(J_V="SI",(Datos!K12-Datos!U12)/Datos!U12,(Datos!K12+Datos!AA12-(Datos!U12+Datos!AI12))/(Datos!U12+Datos!AI12))
     ),IF(J_V="SI",(Datos!K12-Datos!U12)/Datos!U12,(Datos!K12+Datos!AA12-(Datos!U12+Datos!AI12))/(Datos!U12+Datos!AI12))," - ")</f>
        <v>0.25925925925925924</v>
      </c>
      <c r="E12" s="456">
        <f>IF(ISNUMBER(
   IF(J_V="SI",(Datos!L12-Datos!V12)/Datos!V12,(Datos!L12+Datos!AB12-(Datos!V12+Datos!AJ12))/(Datos!V12+Datos!AJ12))
     ),IF(J_V="SI",(Datos!L12-Datos!V12)/Datos!V12,(Datos!L12+Datos!AB12-(Datos!V12+Datos!AJ12))/(Datos!V12+Datos!AJ12))," - ")</f>
        <v>0.30459408432976715</v>
      </c>
      <c r="F12" s="456">
        <f>IF(ISNUMBER((Datos!M12-Datos!W12)/Datos!W12),(Datos!M12-Datos!W12)/Datos!W12," - ")</f>
        <v>0.67500000000000004</v>
      </c>
      <c r="G12" s="457">
        <f>IF(ISNUMBER((Datos!N12-Datos!X12)/Datos!X12),(Datos!N12-Datos!X12)/Datos!X12," - ")</f>
        <v>0.3251231527093596</v>
      </c>
      <c r="H12" s="455">
        <f>IF(ISNUMBER(((NºAsuntos!G12/NºAsuntos!E12)-Datos!BD12)/Datos!BD12),((NºAsuntos!G12/NºAsuntos!E12)-Datos!BD12)/Datos!BD12," - ")</f>
        <v>0.27405666536101325</v>
      </c>
      <c r="I12" s="456">
        <f>IF(ISNUMBER(((NºAsuntos!I12/NºAsuntos!G12)-Datos!BE12)/Datos!BE12),((NºAsuntos!I12/NºAsuntos!G12)-Datos!BE12)/Datos!BE12," - ")</f>
        <v>3.6001184614815086E-2</v>
      </c>
      <c r="J12" s="461">
        <f>IF(ISNUMBER((('Resol  Asuntos'!D12/NºAsuntos!G12)-Datos!BF12)/Datos!BF12),(('Resol  Asuntos'!D12/NºAsuntos!G12)-Datos!BF12)/Datos!BF12," - ")</f>
        <v>-0.21370617212402196</v>
      </c>
      <c r="K12" s="462">
        <f>IF(ISNUMBER((((NºAsuntos!C12+NºAsuntos!E12)/NºAsuntos!G12)-Datos!BG12)/Datos!BG12),(((NºAsuntos!C12+NºAsuntos!E12)/NºAsuntos!G12)-Datos!BG12)/Datos!BG12," - ")</f>
        <v>2.4328249818445963E-2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0.47781065088757396</v>
      </c>
      <c r="C13" s="855">
        <f>IF(ISNUMBER(
   IF(J_V="SI",(Datos!J13-Datos!T13)/Datos!T13,(Datos!J13+Datos!Z13-(Datos!T13+Datos!AH13))/(Datos!T13+Datos!AH13))
     ),IF(J_V="SI",(Datos!J13-Datos!T13)/Datos!T13,(Datos!J13+Datos!Z13-(Datos!T13+Datos!AH13))/(Datos!T13+Datos!AH13))," - ")</f>
        <v>-4.5924225028702642E-3</v>
      </c>
      <c r="D13" s="855">
        <f>IF(ISNUMBER(
   IF(J_V="SI",(Datos!K13-Datos!U13)/Datos!U13,(Datos!K13+Datos!AA13-(Datos!U13+Datos!AI13))/(Datos!U13+Datos!AI13))
     ),IF(J_V="SI",(Datos!K13-Datos!U13)/Datos!U13,(Datos!K13+Datos!AA13-(Datos!U13+Datos!AI13))/(Datos!U13+Datos!AI13))," - ")</f>
        <v>0.26788685524126454</v>
      </c>
      <c r="E13" s="855">
        <f>IF(ISNUMBER(
   IF(J_V="SI",(Datos!L13-Datos!V13)/Datos!V13,(Datos!L13+Datos!AB13-(Datos!V13+Datos!AJ13))/(Datos!V13+Datos!AJ13))
     ),IF(J_V="SI",(Datos!L13-Datos!V13)/Datos!V13,(Datos!L13+Datos!AB13-(Datos!V13+Datos!AJ13))/(Datos!V13+Datos!AJ13))," - ")</f>
        <v>0.29975278121137205</v>
      </c>
      <c r="F13" s="856">
        <f>IF(ISNUMBER((Datos!M13-Datos!W13)/Datos!W13),(Datos!M13-Datos!W13)/Datos!W13," - ")</f>
        <v>0.68292682926829273</v>
      </c>
      <c r="G13" s="857">
        <f>IF(ISNUMBER((Datos!N13-Datos!X13)/Datos!X13),(Datos!N13-Datos!X13)/Datos!X13," - ")</f>
        <v>0.37931034482758619</v>
      </c>
      <c r="H13" s="857">
        <f>IF(ISNUMBER(((NºAsuntos!G13/NºAsuntos!E13)-Datos!BD13)/Datos!BD13),((NºAsuntos!G13/NºAsuntos!E13)-Datos!BD13)/Datos!BD13," - ")</f>
        <v>0.2737363909055841</v>
      </c>
      <c r="I13" s="857">
        <f>IF(ISNUMBER(((NºAsuntos!I13/NºAsuntos!G13)-Datos!BE13)/Datos!BE13),((NºAsuntos!I13/NºAsuntos!G13)-Datos!BE13)/Datos!BE13," - ")</f>
        <v>2.5133099091908997E-2</v>
      </c>
      <c r="J13" s="857">
        <f>IF(ISNUMBER((('Resol  Asuntos'!D13/NºAsuntos!G13)-Datos!BF13)/Datos!BF13),(('Resol  Asuntos'!D13/NºAsuntos!G13)-Datos!BF13)/Datos!BF13," - ")</f>
        <v>-0.20745738093417923</v>
      </c>
      <c r="K13" s="857">
        <f>IF(ISNUMBER((((NºAsuntos!C13+NºAsuntos!E13)/NºAsuntos!G13)-Datos!BG13)/Datos!BG13),(((NºAsuntos!C13+NºAsuntos!E13)/NºAsuntos!G13)-Datos!BG13)/Datos!BG13," - ")</f>
        <v>1.6493636675982349E-2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2.0454545454545454E-2</v>
      </c>
      <c r="C16" s="456">
        <f>IF(ISNUMBER(
   IF(D_I="SI",(Datos!J16-Datos!T16)/Datos!T16,(Datos!J16+Datos!AD16-(Datos!T16+Datos!AL16))/(Datos!T16+Datos!AL16))
     ),IF(D_I="SI",(Datos!J16-Datos!T16)/Datos!T16,(Datos!J16+Datos!AD16-(Datos!T16+Datos!AL16))/(Datos!T16+Datos!AL16))," - ")</f>
        <v>3.2051282051282048E-2</v>
      </c>
      <c r="D16" s="456">
        <f>IF(ISNUMBER(
   IF(D_I="SI",(Datos!K16-Datos!U16)/Datos!U16,(Datos!K16+Datos!AE16-(Datos!U16+Datos!AM16))/(Datos!U16+Datos!AM16))
     ),IF(D_I="SI",(Datos!K16-Datos!U16)/Datos!U16,(Datos!K16+Datos!AE16-(Datos!U16+Datos!AM16))/(Datos!U16+Datos!AM16))," - ")</f>
        <v>-4.3668122270742356E-2</v>
      </c>
      <c r="E16" s="456">
        <f>IF(ISNUMBER(
   IF(D_I="SI",(Datos!L16-Datos!V16)/Datos!V16,(Datos!L16+Datos!AF16-(Datos!V16+Datos!AN16))/(Datos!V16+Datos!AN16))
     ),IF(D_I="SI",(Datos!L16-Datos!V16)/Datos!V16,(Datos!L16+Datos!AF16-(Datos!V16+Datos!AN16))/(Datos!V16+Datos!AN16))," - ")</f>
        <v>6.6511085180863475E-2</v>
      </c>
      <c r="F16" s="456">
        <f>IF(ISNUMBER((Datos!M16-Datos!W16)/Datos!W16),(Datos!M16-Datos!W16)/Datos!W16," - ")</f>
        <v>-4.7619047619047616E-2</v>
      </c>
      <c r="G16" s="457">
        <f>IF(ISNUMBER((Datos!N16-Datos!X16)/Datos!X16),(Datos!N16-Datos!X16)/Datos!X16," - ")</f>
        <v>9.2130518234165071E-2</v>
      </c>
      <c r="H16" s="455">
        <f>IF(ISNUMBER(((NºAsuntos!G16/NºAsuntos!E16)-Datos!BD16)/Datos!BD16),((NºAsuntos!G16/NºAsuntos!E16)-Datos!BD16)/Datos!BD16," - ")</f>
        <v>-7.3367870026309429E-2</v>
      </c>
      <c r="I16" s="456">
        <f>IF(ISNUMBER(((NºAsuntos!I16/NºAsuntos!G16)-Datos!BE16)/Datos!BE16),((NºAsuntos!I16/NºAsuntos!G16)-Datos!BE16)/Datos!BE16," - ")</f>
        <v>0.11521022149049193</v>
      </c>
      <c r="J16" s="461">
        <f>IF(ISNUMBER((('Resol  Asuntos'!D16/NºAsuntos!G16)-Datos!BF16)/Datos!BF16),(('Resol  Asuntos'!D16/NºAsuntos!G16)-Datos!BF16)/Datos!BF16," - ")</f>
        <v>-4.1313328984562891E-3</v>
      </c>
      <c r="K16" s="462">
        <f>IF(ISNUMBER((((NºAsuntos!C16+NºAsuntos!E16)/NºAsuntos!G16)-Datos!BG16)/Datos!BG16),(((NºAsuntos!C16+NºAsuntos!E16)/NºAsuntos!G16)-Datos!BG16)/Datos!BG16," - ")</f>
        <v>7.1693660460975875E-2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-0.32608695652173914</v>
      </c>
      <c r="C17" s="456">
        <f>IF(ISNUMBER(
   IF(D_I="SI",(Datos!J17-Datos!T17)/Datos!T17,(Datos!J17+Datos!AD17-(Datos!T17+Datos!AL17))/(Datos!T17+Datos!AL17))
     ),IF(D_I="SI",(Datos!J17-Datos!T17)/Datos!T17,(Datos!J17+Datos!AD17-(Datos!T17+Datos!AL17))/(Datos!T17+Datos!AL17))," - ")</f>
        <v>0.3235294117647059</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-6.8181818181818177E-2</v>
      </c>
      <c r="F17" s="456">
        <f>IF(ISNUMBER((Datos!M17-Datos!W17)/Datos!W17),(Datos!M17-Datos!W17)/Datos!W17," - ")</f>
        <v>0.6</v>
      </c>
      <c r="G17" s="457">
        <f>IF(ISNUMBER((Datos!N17-Datos!X17)/Datos!X17),(Datos!N17-Datos!X17)/Datos!X17," - ")</f>
        <v>0.22222222222222221</v>
      </c>
      <c r="H17" s="455">
        <f>IF(ISNUMBER(((NºAsuntos!G17/NºAsuntos!E17)-Datos!BD17)/Datos!BD17),((NºAsuntos!G17/NºAsuntos!E17)-Datos!BD17)/Datos!BD17," - ")</f>
        <v>-0.13650793650793647</v>
      </c>
      <c r="I17" s="456">
        <f>IF(ISNUMBER(((NºAsuntos!I17/NºAsuntos!G17)-Datos!BE17)/Datos!BE17),((NºAsuntos!I17/NºAsuntos!G17)-Datos!BE17)/Datos!BE17," - ")</f>
        <v>-0.18465909090909097</v>
      </c>
      <c r="J17" s="461">
        <f>IF(ISNUMBER((('Resol  Asuntos'!D17/NºAsuntos!G17)-Datos!BF17)/Datos!BF17),(('Resol  Asuntos'!D17/NºAsuntos!G17)-Datos!BF17)/Datos!BF17," - ")</f>
        <v>0.4</v>
      </c>
      <c r="K17" s="462">
        <f>IF(ISNUMBER((((NºAsuntos!C17+NºAsuntos!E17)/NºAsuntos!G17)-Datos!BG17)/Datos!BG17),(((NºAsuntos!C17+NºAsuntos!E17)/NºAsuntos!G17)-Datos!BG17)/Datos!BG17," - ")</f>
        <v>-7.1271929824561417E-2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1.1627906976744186E-2</v>
      </c>
      <c r="C18" s="855">
        <f>IF(ISNUMBER(
   IF(Criterios!B14="SI",(Datos!J18-Datos!T18)/Datos!T18,(Datos!J18+Datos!AD18-(Datos!T18+Datos!AL18))/(Datos!T18+Datos!AL18))
     ),IF(Criterios!B14="SI",(Datos!J18-Datos!T18)/Datos!T18,(Datos!J18+Datos!AD18-(Datos!T18+Datos!AL18))/(Datos!T18+Datos!AL18))," - ")</f>
        <v>4.913793103448276E-2</v>
      </c>
      <c r="D18" s="855">
        <f>IF(ISNUMBER(
   IF(Criterios!B14="SI",(Datos!K18-Datos!U18)/Datos!U18,(Datos!K18+Datos!AE18-(Datos!U18+Datos!AM18))/(Datos!U18+Datos!AM18))
     ),IF(Criterios!B14="SI",(Datos!K18-Datos!U18)/Datos!U18,(Datos!K18+Datos!AE18-(Datos!U18+Datos!AM18))/(Datos!U18+Datos!AM18))," - ")</f>
        <v>-3.292181069958848E-2</v>
      </c>
      <c r="E18" s="855">
        <f>IF(ISNUMBER(
   IF(Criterios!B14="SI",(Datos!L18-Datos!V18)/Datos!V18,(Datos!L18+Datos!AF18-(Datos!V18+Datos!AN18))/(Datos!V18+Datos!AN18))
     ),IF(Criterios!B14="SI",(Datos!L18-Datos!V18)/Datos!V18,(Datos!L18+Datos!AF18-(Datos!V18+Datos!AN18))/(Datos!V18+Datos!AN18))," - ")</f>
        <v>6.313993174061433E-2</v>
      </c>
      <c r="F18" s="856">
        <f>IF(ISNUMBER((Datos!M18-Datos!W18)/Datos!W18),(Datos!M18-Datos!W18)/Datos!W18," - ")</f>
        <v>-8.130081300813009E-3</v>
      </c>
      <c r="G18" s="857">
        <f>IF(ISNUMBER((Datos!N18-Datos!X18)/Datos!X18),(Datos!N18-Datos!X18)/Datos!X18," - ")</f>
        <v>0.10053859964093358</v>
      </c>
      <c r="H18" s="857">
        <f>IF(ISNUMBER(((NºAsuntos!G18/NºAsuntos!E18)-Datos!BD18)/Datos!BD18),((NºAsuntos!G18/NºAsuntos!E18)-Datos!BD18)/Datos!BD18," - ")</f>
        <v>-7.8216352022615065E-2</v>
      </c>
      <c r="I18" s="857">
        <f>IF(ISNUMBER(((NºAsuntos!I18/NºAsuntos!G18)-Datos!BE18)/Datos!BE18),((NºAsuntos!I18/NºAsuntos!G18)-Datos!BE18)/Datos!BE18," - ")</f>
        <v>9.9331929416890549E-2</v>
      </c>
      <c r="J18" s="857">
        <f>IF(ISNUMBER((('Resol  Asuntos'!D18/NºAsuntos!G18)-Datos!BF18)/Datos!BF18),(('Resol  Asuntos'!D18/NºAsuntos!G18)-Datos!BF18)/Datos!BF18," - ")</f>
        <v>2.5635703165542294E-2</v>
      </c>
      <c r="K18" s="857">
        <f>IF(ISNUMBER((((NºAsuntos!C18+NºAsuntos!E18)/NºAsuntos!G18)-Datos!BG18)/Datos!BG18),(((NºAsuntos!C18+NºAsuntos!E18)/NºAsuntos!G18)-Datos!BG18)/Datos!BG18," - ")</f>
        <v>6.1235850274744971E-2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0.21120962634578846</v>
      </c>
      <c r="C19" s="802">
        <f>IF(ISNUMBER(
   IF(J_V="SI",(Datos!J19-Datos!T19)/Datos!T19,(Datos!J19+Datos!Z19-(Datos!T19+Datos!AH19))/(Datos!T19+Datos!AH19))
     ),IF(J_V="SI",(Datos!J19-Datos!T19)/Datos!T19,(Datos!J19+Datos!Z19-(Datos!T19+Datos!AH19))/(Datos!T19+Datos!AH19))," - ")</f>
        <v>2.6095519448547513E-2</v>
      </c>
      <c r="D19" s="802">
        <f>IF(ISNUMBER(
   IF(J_V="SI",(Datos!K19-Datos!U19)/Datos!U19,(Datos!K19+Datos!AA19-(Datos!U19+Datos!AI19))/(Datos!U19+Datos!AI19))
     ),IF(J_V="SI",(Datos!K19-Datos!U19)/Datos!U19,(Datos!K19+Datos!AA19-(Datos!U19+Datos!AI19))/(Datos!U19+Datos!AI19))," - ")</f>
        <v>6.6629955947136568E-2</v>
      </c>
      <c r="E19" s="802">
        <f>IF(ISNUMBER(
   IF(J_V="SI",(Datos!L19-Datos!V19)/Datos!V19,(Datos!L19+Datos!AB19-(Datos!V19+Datos!AJ19))/(Datos!V19+Datos!AJ19))
     ),IF(J_V="SI",(Datos!L19-Datos!V19)/Datos!V19,(Datos!L19+Datos!AB19-(Datos!V19+Datos!AJ19))/(Datos!V19+Datos!AJ19))," - ")</f>
        <v>0.17654028436018956</v>
      </c>
      <c r="F19" s="803">
        <f>IF(ISNUMBER((Datos!M19-Datos!W19)/Datos!W19),(Datos!M19-Datos!W19)/Datos!W19," - ")</f>
        <v>0.22222222222222221</v>
      </c>
      <c r="G19" s="804">
        <f>IF(ISNUMBER((Datos!N19-Datos!X19)/Datos!X19),(Datos!N19-Datos!X19)/Datos!X19," - ")</f>
        <v>0.17499999999999999</v>
      </c>
      <c r="H19" s="805">
        <f>IF(ISNUMBER((Tasas!B19-Datos!BD19)/Datos!BD19),(Tasas!B19-Datos!BD19)/Datos!BD19," - ")</f>
        <v>3.9503570311244879E-2</v>
      </c>
      <c r="I19" s="806">
        <f>IF(ISNUMBER((Tasas!C19-Datos!BE19)/Datos!BE19),(Tasas!C19-Datos!BE19)/Datos!BE19," - ")</f>
        <v>0.10304447929690461</v>
      </c>
      <c r="J19" s="807">
        <f>IF(ISNUMBER((Tasas!D19-Datos!BF19)/Datos!BF19),(Tasas!D19-Datos!BF19)/Datos!BF19," - ")</f>
        <v>-6.454192003874247E-2</v>
      </c>
      <c r="K19" s="807">
        <f>IF(ISNUMBER((Tasas!E19-Datos!BG19)/Datos!BG19),(Tasas!E19-Datos!BG19)/Datos!BG19," - ")</f>
        <v>6.7619611120900036E-2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HFJQqj9McK3uvMIyf7p3bdtfSFazwIKogVOXdbSrRQoH5DZ6vbI95t60kcdaZ/wdGGs+lQI4DVggMIZ/xZj+Q==" saltValue="BhoFePADFH+Mljkslsfe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IRUN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0.875</v>
      </c>
      <c r="C10" s="443">
        <f>IF(ISNUMBER(NºAsuntos!I10/NºAsuntos!G10),NºAsuntos!I10/NºAsuntos!G10," - ")</f>
        <v>2.1428571428571428</v>
      </c>
      <c r="D10" s="444">
        <f>IF(ISNUMBER('Resol  Asuntos'!D10/NºAsuntos!G10),'Resol  Asuntos'!D10/NºAsuntos!G10," - ")</f>
        <v>0.42857142857142855</v>
      </c>
      <c r="E10" s="445">
        <f>IF(ISNUMBER((NºAsuntos!C10+NºAsuntos!E10)/NºAsuntos!G10),(NºAsuntos!C10+NºAsuntos!E10)/NºAsuntos!G10," - ")</f>
        <v>3.1428571428571428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0.87896592244418337</v>
      </c>
      <c r="C12" s="443">
        <f>IF(ISNUMBER(NºAsuntos!I12/NºAsuntos!G12),NºAsuntos!I12/NºAsuntos!G12," - ")</f>
        <v>2.7713903743315509</v>
      </c>
      <c r="D12" s="444">
        <f>IF(ISNUMBER('Resol  Asuntos'!D12/NºAsuntos!G12),'Resol  Asuntos'!D12/NºAsuntos!G12," - ")</f>
        <v>0.26871657754010697</v>
      </c>
      <c r="E12" s="445">
        <f>IF(ISNUMBER((NºAsuntos!C12+NºAsuntos!E12)/NºAsuntos!G12),(NºAsuntos!C12+NºAsuntos!E12)/NºAsuntos!G12," - ")</f>
        <v>3.7713903743315509</v>
      </c>
      <c r="G12" s="463"/>
    </row>
    <row r="13" spans="1:7" ht="14.25" thickTop="1" thickBot="1">
      <c r="A13" s="848" t="str">
        <f>Datos!A13</f>
        <v>TOTAL</v>
      </c>
      <c r="B13" s="858">
        <f>IF(ISNUMBER(NºAsuntos!G13/NºAsuntos!E13),NºAsuntos!G13/NºAsuntos!E13," - ")</f>
        <v>0.87889273356401387</v>
      </c>
      <c r="C13" s="859">
        <f>IF(ISNUMBER(NºAsuntos!I13/NºAsuntos!G13),NºAsuntos!I13/NºAsuntos!G13," - ")</f>
        <v>2.7598425196850394</v>
      </c>
      <c r="D13" s="860">
        <f>IF(ISNUMBER('Resol  Asuntos'!D13/NºAsuntos!G13),'Resol  Asuntos'!D13/NºAsuntos!G13," - ")</f>
        <v>0.27165354330708663</v>
      </c>
      <c r="E13" s="861">
        <f>IF(ISNUMBER((NºAsuntos!C13+NºAsuntos!E13)/NºAsuntos!G13),(NºAsuntos!C13+NºAsuntos!E13)/NºAsuntos!G13," - ")</f>
        <v>3.7598425196850394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0.97160603371783494</v>
      </c>
      <c r="C16" s="443">
        <f>IF(ISNUMBER(NºAsuntos!I16/NºAsuntos!G16),NºAsuntos!I16/NºAsuntos!G16," - ")</f>
        <v>1.6694063926940639</v>
      </c>
      <c r="D16" s="444">
        <f>IF(ISNUMBER('Resol  Asuntos'!D16/NºAsuntos!G16),'Resol  Asuntos'!D16/NºAsuntos!G16," - ")</f>
        <v>0.20091324200913241</v>
      </c>
      <c r="E16" s="445">
        <f>IF(ISNUMBER((NºAsuntos!C16+NºAsuntos!E16)/NºAsuntos!G16),(NºAsuntos!C16+NºAsuntos!E16)/NºAsuntos!G16," - ")</f>
        <v>2.6694063926940639</v>
      </c>
      <c r="G16" s="463"/>
    </row>
    <row r="17" spans="1:7" ht="13.5" thickBot="1">
      <c r="A17" s="402" t="str">
        <f>Datos!A17</f>
        <v>Jdos. Violencia contra la mujer</v>
      </c>
      <c r="B17" s="442">
        <f>IF(ISNUMBER(NºAsuntos!G17/NºAsuntos!E17),NºAsuntos!G17/NºAsuntos!E17," - ")</f>
        <v>0.88888888888888884</v>
      </c>
      <c r="C17" s="443">
        <f>IF(ISNUMBER(NºAsuntos!I17/NºAsuntos!G17),NºAsuntos!I17/NºAsuntos!G17," - ")</f>
        <v>0.51249999999999996</v>
      </c>
      <c r="D17" s="444">
        <f>IF(ISNUMBER('Resol  Asuntos'!D17/NºAsuntos!G17),'Resol  Asuntos'!D17/NºAsuntos!G17," - ")</f>
        <v>0.3</v>
      </c>
      <c r="E17" s="445">
        <f>IF(ISNUMBER((NºAsuntos!C17+NºAsuntos!E17)/NºAsuntos!G17),(NºAsuntos!C17+NºAsuntos!E17)/NºAsuntos!G17," - ")</f>
        <v>1.5125</v>
      </c>
      <c r="G17" s="463"/>
    </row>
    <row r="18" spans="1:7" ht="14.25" thickTop="1" thickBot="1">
      <c r="A18" s="848" t="str">
        <f>Datos!A18</f>
        <v>TOTAL</v>
      </c>
      <c r="B18" s="858">
        <f>IF(ISNUMBER(NºAsuntos!G18/NºAsuntos!E18),NºAsuntos!G18/NºAsuntos!E18," - ")</f>
        <v>0.96548890714872637</v>
      </c>
      <c r="C18" s="859">
        <f>IF(ISNUMBER(NºAsuntos!I18/NºAsuntos!G18),NºAsuntos!I18/NºAsuntos!G18," - ")</f>
        <v>1.5906382978723403</v>
      </c>
      <c r="D18" s="862">
        <f>IF(ISNUMBER('Resol  Asuntos'!D18/NºAsuntos!G18),'Resol  Asuntos'!D18/NºAsuntos!G18," - ")</f>
        <v>0.20765957446808511</v>
      </c>
      <c r="E18" s="861">
        <f>IF(ISNUMBER((NºAsuntos!C18+NºAsuntos!E18)/NºAsuntos!G18),(NºAsuntos!C18+NºAsuntos!E18)/NºAsuntos!G18," - ")</f>
        <v>2.5906382978723403</v>
      </c>
      <c r="G18" s="463"/>
    </row>
    <row r="19" spans="1:7" ht="15.75" customHeight="1" thickTop="1" thickBot="1">
      <c r="A19" s="793" t="str">
        <f>Datos!A19</f>
        <v>TOTAL JURISDICCIONES</v>
      </c>
      <c r="B19" s="808">
        <f>IF(ISNUMBER(NºAsuntos!G19/NºAsuntos!E19),NºAsuntos!G19/NºAsuntos!E19," - ")</f>
        <v>0.92946257197696736</v>
      </c>
      <c r="C19" s="809">
        <f>IF(ISNUMBER(NºAsuntos!I19/NºAsuntos!G19),NºAsuntos!I19/NºAsuntos!G19," - ")</f>
        <v>2.050593701600413</v>
      </c>
      <c r="D19" s="810">
        <f>IF(ISNUMBER('Resol  Asuntos'!D19/NºAsuntos!G19),'Resol  Asuntos'!D19/NºAsuntos!G19," - ")</f>
        <v>0.23283427981414559</v>
      </c>
      <c r="E19" s="811">
        <f>IF(ISNUMBER((NºAsuntos!C19+NºAsuntos!E19)/NºAsuntos!G19),(NºAsuntos!C19+NºAsuntos!E19)/NºAsuntos!G19," - ")</f>
        <v>3.050593701600413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i+rfdzB48Sb2jdlBsJYC2Usfq7Zj8PMphdT7+1PQKuztO80knhn9vPsNMkxvjjolUWNHedMJH3KuOCDFjWxdQ==" saltValue="MWb1i+YEBiaWN7NdPeU9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IRUN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7</v>
      </c>
      <c r="Y10" s="334">
        <f t="shared" ref="Y10:Y12" si="0">SUM(W10:X10)</f>
        <v>21</v>
      </c>
      <c r="Z10" s="335" t="str">
        <f>IF(ISNUMBER(Datos!CC10),Datos!CC10," - ")</f>
        <v xml:space="preserve"> - </v>
      </c>
      <c r="AA10" s="332">
        <f>IF(ISNUMBER(Datos!L10),Datos!L10,"-")</f>
        <v>30</v>
      </c>
      <c r="AB10" s="334">
        <f>IF(ISNUMBER(Datos!R10),Datos!R10," - ")</f>
        <v>14</v>
      </c>
      <c r="AC10" s="334">
        <f t="shared" ref="AC10:AC12" si="1">IF(ISNUMBER(AA10+AB10),AA10+AB10," - ")</f>
        <v>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0.875</v>
      </c>
      <c r="AM10" s="260">
        <f>IF(ISNUMBER(((NºAsuntos!I10/NºAsuntos!G10)*11)/factor_trimestre),((NºAsuntos!I10/NºAsuntos!G10)*11)/factor_trimestre," - ")</f>
        <v>6.4285714285714279</v>
      </c>
      <c r="AN10" s="244">
        <f>IF(ISNUMBER('Resol  Asuntos'!D10/NºAsuntos!G10),'Resol  Asuntos'!D10/NºAsuntos!G10," - ")</f>
        <v>0.42857142857142855</v>
      </c>
      <c r="AO10" s="245">
        <f>IF(ISNUMBER((NºAsuntos!C10+NºAsuntos!E10)/NºAsuntos!G10),(NºAsuntos!C10+NºAsuntos!E10)/NºAsuntos!G10," - ")</f>
        <v>3.1428571428571428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v>
      </c>
      <c r="Y12" s="334">
        <f t="shared" si="0"/>
        <v>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201</v>
      </c>
      <c r="AJ12" s="229" t="str">
        <f>IF(ISNUMBER(Datos!BW12),Datos!BW12," - ")</f>
        <v xml:space="preserve"> - </v>
      </c>
      <c r="AK12" s="228" t="str">
        <f>IF(ISNUMBER(Datos!BX12),Datos!BX12," - ")</f>
        <v xml:space="preserve"> - </v>
      </c>
      <c r="AL12" s="243">
        <f>IF(ISNUMBER(NºAsuntos!G12/NºAsuntos!E12),NºAsuntos!G12/NºAsuntos!E12," - ")</f>
        <v>0.87896592244418337</v>
      </c>
      <c r="AM12" s="260">
        <f>IF(ISNUMBER(((NºAsuntos!I12/NºAsuntos!G12)*11)/factor_trimestre),((NºAsuntos!I12/NºAsuntos!G12)*11)/factor_trimestre," - ")</f>
        <v>8.3141711229946527</v>
      </c>
      <c r="AN12" s="244">
        <f>IF(ISNUMBER('Resol  Asuntos'!D12/NºAsuntos!G12),'Resol  Asuntos'!D12/NºAsuntos!G12," - ")</f>
        <v>0.26871657754010697</v>
      </c>
      <c r="AO12" s="245">
        <f>IF(ISNUMBER((NºAsuntos!C12+NºAsuntos!E12)/NºAsuntos!G12),(NºAsuntos!C12+NºAsuntos!E12)/NºAsuntos!G12," - ")</f>
        <v>3.7713903743315509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28</v>
      </c>
      <c r="G13" s="866">
        <f t="shared" si="3"/>
        <v>28</v>
      </c>
      <c r="H13" s="865">
        <f t="shared" si="3"/>
        <v>0</v>
      </c>
      <c r="I13" s="867">
        <f t="shared" si="3"/>
        <v>0</v>
      </c>
      <c r="J13" s="867">
        <f t="shared" si="3"/>
        <v>0</v>
      </c>
      <c r="K13" s="867">
        <f t="shared" si="3"/>
        <v>0</v>
      </c>
      <c r="L13" s="867">
        <f t="shared" si="3"/>
        <v>171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70</v>
      </c>
      <c r="Y13" s="868">
        <f t="shared" si="4"/>
        <v>84</v>
      </c>
      <c r="Z13" s="868">
        <f t="shared" si="4"/>
        <v>0</v>
      </c>
      <c r="AA13" s="868">
        <f t="shared" si="4"/>
        <v>30</v>
      </c>
      <c r="AB13" s="868">
        <f t="shared" si="4"/>
        <v>1824</v>
      </c>
      <c r="AC13" s="868">
        <f t="shared" si="4"/>
        <v>44</v>
      </c>
      <c r="AD13" s="868">
        <f t="shared" si="4"/>
        <v>0</v>
      </c>
      <c r="AE13" s="872">
        <f t="shared" si="4"/>
        <v>0</v>
      </c>
      <c r="AF13" s="865">
        <f t="shared" si="4"/>
        <v>0</v>
      </c>
      <c r="AG13" s="873">
        <f t="shared" si="4"/>
        <v>0</v>
      </c>
      <c r="AH13" s="870">
        <f t="shared" si="4"/>
        <v>0</v>
      </c>
      <c r="AI13" s="865">
        <f t="shared" si="4"/>
        <v>207</v>
      </c>
      <c r="AJ13" s="867">
        <f t="shared" si="4"/>
        <v>0</v>
      </c>
      <c r="AK13" s="870">
        <f>SUBTOTAL(9,AK9:AK12)</f>
        <v>0</v>
      </c>
      <c r="AL13" s="874">
        <f>IF(ISNUMBER(NºAsuntos!G13/NºAsuntos!E13),NºAsuntos!G13/NºAsuntos!E13," - ")</f>
        <v>0.87889273356401387</v>
      </c>
      <c r="AM13" s="874">
        <f>IF(ISNUMBER(((NºAsuntos!I13/NºAsuntos!G13)*11)/factor_trimestre),((NºAsuntos!I13/NºAsuntos!G13)*11)/factor_trimestre," - ")</f>
        <v>8.2795275590551185</v>
      </c>
      <c r="AN13" s="875">
        <f>IF(ISNUMBER('Resol  Asuntos'!D13/NºAsuntos!G13),'Resol  Asuntos'!D13/NºAsuntos!G13," - ")</f>
        <v>0.27165354330708663</v>
      </c>
      <c r="AO13" s="876">
        <f>IF(ISNUMBER((NºAsuntos!C13+NºAsuntos!E13)/NºAsuntos!G13),(NºAsuntos!C13+NºAsuntos!E13)/NºAsuntos!G13," - ")</f>
        <v>3.7598425196850394</v>
      </c>
      <c r="AP13" s="877" t="str">
        <f t="shared" si="2"/>
        <v xml:space="preserve"> - </v>
      </c>
      <c r="AQ13" s="877">
        <f>IF(ISNUMBER((H13-W13+K13)/(F13)),(H13-W13+K13)/(F13)," - ")</f>
        <v>-0.5</v>
      </c>
      <c r="AR13" s="878">
        <f>IF(ISNUMBER((Datos!P13-Datos!Q13)/(Datos!R13-Datos!P13+Datos!Q13)),(Datos!P13-Datos!Q13)/(Datos!R13-Datos!P13+Datos!Q13)," - ")</f>
        <v>5.8618688334300638E-2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1796</v>
      </c>
      <c r="G16" s="333">
        <f>IF(ISNUMBER(IF(D_I="SI",Datos!I16,Datos!I16+Datos!AC16)),IF(D_I="SI",Datos!I16,Datos!I16+Datos!AC16)," - ")</f>
        <v>1796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1095</v>
      </c>
      <c r="X16" s="226">
        <f>IF(ISNUMBER(Datos!Q16),Datos!Q16," - ")</f>
        <v>42</v>
      </c>
      <c r="Y16" s="334">
        <f t="shared" ref="Y16:Y17" si="7">SUM(W16:X16)</f>
        <v>1137</v>
      </c>
      <c r="Z16" s="335" t="str">
        <f>IF(ISNUMBER(Datos!CC16),Datos!CC16," - ")</f>
        <v xml:space="preserve"> - </v>
      </c>
      <c r="AA16" s="332">
        <f>IF(ISNUMBER(IF(D_I="SI",Datos!L16,Datos!L16+Datos!AF16)),IF(D_I="SI",Datos!L16,Datos!L16+Datos!AF16)," - ")</f>
        <v>1828</v>
      </c>
      <c r="AB16" s="334">
        <f>IF(ISNUMBER(Datos!R16),Datos!R16," - ")</f>
        <v>296</v>
      </c>
      <c r="AC16" s="334">
        <f t="shared" si="6"/>
        <v>2124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220</v>
      </c>
      <c r="AJ16" s="231" t="str">
        <f>IF(ISNUMBER(Datos!BW16),Datos!BW16," - ")</f>
        <v xml:space="preserve"> - </v>
      </c>
      <c r="AK16" s="232" t="str">
        <f>IF(ISNUMBER(Datos!BX16),Datos!BX16," - ")</f>
        <v xml:space="preserve"> - </v>
      </c>
      <c r="AL16" s="243">
        <f>IF(ISNUMBER(NºAsuntos!G16/NºAsuntos!E16),NºAsuntos!G16/NºAsuntos!E16," - ")</f>
        <v>0.97160603371783494</v>
      </c>
      <c r="AM16" s="260">
        <f>IF(ISNUMBER(((NºAsuntos!I16/NºAsuntos!G16)*11)/factor_trimestre),((NºAsuntos!I16/NºAsuntos!G16)*11)/factor_trimestre," - ")</f>
        <v>5.0082191780821921</v>
      </c>
      <c r="AN16" s="244">
        <f>IF(ISNUMBER('Resol  Asuntos'!D16/NºAsuntos!G16),'Resol  Asuntos'!D16/NºAsuntos!G16," - ")</f>
        <v>0.20091324200913241</v>
      </c>
      <c r="AO16" s="245">
        <f>IF(ISNUMBER((NºAsuntos!C16+NºAsuntos!E16)/NºAsuntos!G16),(NºAsuntos!C16+NºAsuntos!E16)/NºAsuntos!G16," - ")</f>
        <v>2.6694063926940639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80</v>
      </c>
      <c r="X17" s="226">
        <f>IF(ISNUMBER(Datos!Q17),Datos!Q17," - ")</f>
        <v>3</v>
      </c>
      <c r="Y17" s="334">
        <f t="shared" si="7"/>
        <v>83</v>
      </c>
      <c r="Z17" s="335" t="str">
        <f>IF(ISNUMBER(Datos!CC17),Datos!CC17," - ")</f>
        <v xml:space="preserve"> - </v>
      </c>
      <c r="AA17" s="332">
        <f>IF(ISNUMBER(Datos!L17),Datos!L17,"-")</f>
        <v>41</v>
      </c>
      <c r="AB17" s="334">
        <f>IF(ISNUMBER(Datos!R17),Datos!R17," - ")</f>
        <v>10</v>
      </c>
      <c r="AC17" s="334">
        <f t="shared" si="6"/>
        <v>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v>
      </c>
      <c r="AJ17" s="231" t="str">
        <f>IF(ISNUMBER(Datos!BW17),Datos!BW17," - ")</f>
        <v xml:space="preserve"> - </v>
      </c>
      <c r="AK17" s="232" t="str">
        <f>IF(ISNUMBER(Datos!BX17),Datos!BX17," - ")</f>
        <v xml:space="preserve"> - </v>
      </c>
      <c r="AL17" s="243">
        <f>IF(ISNUMBER(NºAsuntos!G17/NºAsuntos!E17),NºAsuntos!G17/NºAsuntos!E17," - ")</f>
        <v>0.88888888888888884</v>
      </c>
      <c r="AM17" s="260">
        <f>IF(ISNUMBER(((NºAsuntos!I17/NºAsuntos!G17)*11)/factor_trimestre),((NºAsuntos!I17/NºAsuntos!G17)*11)/factor_trimestre," - ")</f>
        <v>1.5374999999999999</v>
      </c>
      <c r="AN17" s="244">
        <f>IF(ISNUMBER('Resol  Asuntos'!D17/NºAsuntos!G17),'Resol  Asuntos'!D17/NºAsuntos!G17," - ")</f>
        <v>0.3</v>
      </c>
      <c r="AO17" s="245">
        <f>IF(ISNUMBER((NºAsuntos!C17+NºAsuntos!E17)/NºAsuntos!G17),(NºAsuntos!C17+NºAsuntos!E17)/NºAsuntos!G17," - ")</f>
        <v>1.5125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1796</v>
      </c>
      <c r="G18" s="866">
        <f>SUBTOTAL(9,G15:G17)</f>
        <v>1827</v>
      </c>
      <c r="H18" s="865">
        <f t="shared" ref="H18:O18" si="10">SUBTOTAL(9,H14:H17)</f>
        <v>0</v>
      </c>
      <c r="I18" s="867">
        <f t="shared" si="10"/>
        <v>0</v>
      </c>
      <c r="J18" s="867">
        <f t="shared" si="10"/>
        <v>0</v>
      </c>
      <c r="K18" s="867">
        <f t="shared" si="10"/>
        <v>0</v>
      </c>
      <c r="L18" s="867">
        <f t="shared" si="10"/>
        <v>60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1175</v>
      </c>
      <c r="X18" s="867">
        <f t="shared" si="11"/>
        <v>45</v>
      </c>
      <c r="Y18" s="868">
        <f t="shared" si="11"/>
        <v>1220</v>
      </c>
      <c r="Z18" s="868">
        <f t="shared" si="11"/>
        <v>0</v>
      </c>
      <c r="AA18" s="868">
        <f t="shared" si="11"/>
        <v>1869</v>
      </c>
      <c r="AB18" s="868">
        <f t="shared" si="11"/>
        <v>306</v>
      </c>
      <c r="AC18" s="868">
        <f t="shared" si="11"/>
        <v>2175</v>
      </c>
      <c r="AD18" s="868">
        <f t="shared" si="11"/>
        <v>0</v>
      </c>
      <c r="AE18" s="872">
        <f t="shared" si="11"/>
        <v>0</v>
      </c>
      <c r="AF18" s="865">
        <f t="shared" si="11"/>
        <v>0</v>
      </c>
      <c r="AG18" s="873">
        <f t="shared" si="11"/>
        <v>0</v>
      </c>
      <c r="AH18" s="870">
        <f t="shared" si="11"/>
        <v>0</v>
      </c>
      <c r="AI18" s="865">
        <f t="shared" si="11"/>
        <v>244</v>
      </c>
      <c r="AJ18" s="867">
        <f t="shared" si="11"/>
        <v>0</v>
      </c>
      <c r="AK18" s="870">
        <f t="shared" si="11"/>
        <v>0</v>
      </c>
      <c r="AL18" s="874">
        <f>IF(ISNUMBER(NºAsuntos!G18/NºAsuntos!E18),NºAsuntos!G18/NºAsuntos!E18," - ")</f>
        <v>0.96548890714872637</v>
      </c>
      <c r="AM18" s="874">
        <f>IF(ISNUMBER(((NºAsuntos!I18/NºAsuntos!G18)*11)/factor_trimestre),((NºAsuntos!I18/NºAsuntos!G18)*11)/factor_trimestre," - ")</f>
        <v>4.7719148936170219</v>
      </c>
      <c r="AN18" s="875">
        <f>IF(ISNUMBER('Resol  Asuntos'!D18/NºAsuntos!G18),'Resol  Asuntos'!D18/NºAsuntos!G18," - ")</f>
        <v>0.20765957446808511</v>
      </c>
      <c r="AO18" s="876">
        <f>IF(ISNUMBER((NºAsuntos!C18+NºAsuntos!E18)/NºAsuntos!G18),(NºAsuntos!C18+NºAsuntos!E18)/NºAsuntos!G18," - ")</f>
        <v>2.5906382978723403</v>
      </c>
      <c r="AP18" s="877" t="str">
        <f t="shared" si="2"/>
        <v xml:space="preserve"> - </v>
      </c>
      <c r="AQ18" s="877">
        <f>IF(ISNUMBER((H18-W18+K18)/(F18)),(H18-W18+K18)/(F18)," - ")</f>
        <v>-0.65423162583518935</v>
      </c>
      <c r="AR18" s="878">
        <f>IF(ISNUMBER((Datos!P18-Datos!Q18)/(Datos!R18-Datos!P18+Datos!Q18)),(Datos!P18-Datos!Q18)/(Datos!R18-Datos!P18+Datos!Q18)," - ")</f>
        <v>5.1546391752577317E-2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1824</v>
      </c>
      <c r="G19" s="821">
        <f t="shared" si="13"/>
        <v>1855</v>
      </c>
      <c r="H19" s="820">
        <f t="shared" si="13"/>
        <v>0</v>
      </c>
      <c r="I19" s="822">
        <f t="shared" si="13"/>
        <v>0</v>
      </c>
      <c r="J19" s="822">
        <f t="shared" si="13"/>
        <v>0</v>
      </c>
      <c r="K19" s="881">
        <f t="shared" si="13"/>
        <v>0</v>
      </c>
      <c r="L19" s="822">
        <f t="shared" si="13"/>
        <v>231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1189</v>
      </c>
      <c r="X19" s="821">
        <f t="shared" si="14"/>
        <v>115</v>
      </c>
      <c r="Y19" s="828">
        <f t="shared" si="14"/>
        <v>1304</v>
      </c>
      <c r="Z19" s="828">
        <f t="shared" si="14"/>
        <v>0</v>
      </c>
      <c r="AA19" s="828">
        <f t="shared" si="14"/>
        <v>1899</v>
      </c>
      <c r="AB19" s="828">
        <f t="shared" si="14"/>
        <v>2130</v>
      </c>
      <c r="AC19" s="828">
        <f t="shared" si="14"/>
        <v>2219</v>
      </c>
      <c r="AD19" s="828">
        <f t="shared" si="14"/>
        <v>0</v>
      </c>
      <c r="AE19" s="830">
        <f t="shared" si="14"/>
        <v>0</v>
      </c>
      <c r="AF19" s="831">
        <f t="shared" si="14"/>
        <v>0</v>
      </c>
      <c r="AG19" s="832">
        <f t="shared" si="14"/>
        <v>0</v>
      </c>
      <c r="AH19" s="830">
        <f t="shared" si="14"/>
        <v>0</v>
      </c>
      <c r="AI19" s="820">
        <f t="shared" si="14"/>
        <v>451</v>
      </c>
      <c r="AJ19" s="820">
        <f t="shared" si="14"/>
        <v>0</v>
      </c>
      <c r="AK19" s="830">
        <f t="shared" si="14"/>
        <v>0</v>
      </c>
      <c r="AL19" s="884">
        <f>IF(ISNUMBER(NºAsuntos!G19/NºAsuntos!E19),NºAsuntos!G19/NºAsuntos!E19," - ")</f>
        <v>0.92946257197696736</v>
      </c>
      <c r="AM19" s="885">
        <f>IF(ISNUMBER(((NºAsuntos!I19/NºAsuntos!G19)*11)/factor_trimestre),((NºAsuntos!I19/NºAsuntos!G19)*11)/factor_trimestre," - ")</f>
        <v>6.1517811048012385</v>
      </c>
      <c r="AN19" s="885">
        <f>IF(ISNUMBER('Resol  Asuntos'!D19/NºAsuntos!G19),'Resol  Asuntos'!D19/NºAsuntos!G19," - ")</f>
        <v>0.23283427981414559</v>
      </c>
      <c r="AO19" s="886">
        <f>IF(ISNUMBER((NºAsuntos!C19+NºAsuntos!E19)/NºAsuntos!G19),(NºAsuntos!C19+NºAsuntos!E19)/NºAsuntos!G19," - ")</f>
        <v>3.050593701600413</v>
      </c>
      <c r="AP19" s="887" t="str">
        <f t="shared" si="2"/>
        <v xml:space="preserve"> - </v>
      </c>
      <c r="AQ19" s="888">
        <f>IF(OR(ISNUMBER(FIND("01",Criterios!A8,1)),ISNUMBER(FIND("02",Criterios!A8,1)),ISNUMBER(FIND("03",Criterios!A8,1)),ISNUMBER(FIND("04",Criterios!A8,1))),(I19-W19+K19)/(F19-K19),(H19-W19+K19)/(F19-K19))</f>
        <v>-0.65186403508771928</v>
      </c>
      <c r="AR19" s="889">
        <f>IF(ISNUMBER((Datos!P19-Datos!Q19)/(Datos!R19-Datos!P19+Datos!Q19)),(Datos!P19-Datos!Q19)/(Datos!R19-Datos!P19+Datos!Q19)," - ")</f>
        <v>5.7596822244289969E-2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1020.7552759272584</v>
      </c>
      <c r="G21" s="253">
        <f>IF(ISNUMBER(STDEV(G8:G18)),STDEV(G8:G18),"-")</f>
        <v>976.37774452309179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603.21331218732234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106.01635094015766</v>
      </c>
      <c r="AJ21" s="252">
        <f t="shared" si="18"/>
        <v>0</v>
      </c>
      <c r="AK21" s="254">
        <f t="shared" si="18"/>
        <v>0</v>
      </c>
      <c r="AL21" s="249">
        <f t="shared" si="18"/>
        <v>4.577238011655934E-2</v>
      </c>
      <c r="AM21" s="250">
        <f t="shared" si="18"/>
        <v>2.5566273149723089</v>
      </c>
      <c r="AN21" s="250">
        <f t="shared" si="18"/>
        <v>8.2652611665514145E-2</v>
      </c>
      <c r="AO21" s="251">
        <f t="shared" si="18"/>
        <v>0.85220910499077229</v>
      </c>
      <c r="AP21" s="291" t="str">
        <f t="shared" si="18"/>
        <v>-</v>
      </c>
      <c r="AQ21" s="292">
        <f t="shared" si="18"/>
        <v>0.10905822850148958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59wRNeZXwvGlNMEg7RlLpmN3qApwQvcmL2U9Qe9NTFotvVod+x9/kKYV8xvUYu78S+jgy71w6hLSQI1RwuP0A==" saltValue="4nOcvvjspruiuRaUKaDHd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IRUN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7.6923076923076927E-2</v>
      </c>
      <c r="E10" s="348">
        <f>IF(ISNUMBER((Datos!J10-Datos!T10)/Datos!T10),(Datos!J10-Datos!T10)/Datos!T10," - ")</f>
        <v>0.6</v>
      </c>
      <c r="F10" s="348">
        <f>IF(ISNUMBER((Datos!K10-Datos!U10)/Datos!U10),(Datos!K10-Datos!U10)/Datos!U10," - ")</f>
        <v>1</v>
      </c>
      <c r="G10" s="349">
        <f>IF(ISNUMBER((Datos!L10-Datos!V10)/Datos!V10),(Datos!L10-Datos!V10)/Datos!V10," - ")</f>
        <v>3.4482758620689655E-2</v>
      </c>
      <c r="H10" s="230">
        <f>IF(ISNUMBER((Datos!M10-Datos!W10)/Datos!W10),(Datos!M10-Datos!W10)/Datos!W10," - ")</f>
        <v>1</v>
      </c>
      <c r="I10" s="350">
        <f>IF(ISNUMBER((Tasas!C10-Datos!BE10)/Datos!BE10),(Tasas!C10-Datos!BE10)/Datos!BE10," - ")</f>
        <v>-0.48275862068965525</v>
      </c>
      <c r="J10" s="349">
        <f>IF(ISNUMBER((Tasas!D10-Datos!BF10)/Datos!BF10),(Tasas!D10-Datos!BF10)/Datos!BF10," - ")</f>
        <v>0</v>
      </c>
      <c r="K10" s="351">
        <f>IF(ISNUMBER((Tasas!E10-Datos!BG10)/Datos!BG10),(Tasas!E10-Datos!BG10)/Datos!BG10," - ")</f>
        <v>-0.38888888888888895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0.67500000000000004</v>
      </c>
      <c r="I12" s="350">
        <f>IF(ISNUMBER((Tasas!C12-Datos!BE12)/Datos!BE12),(Tasas!C12-Datos!BE12)/Datos!BE12," - ")</f>
        <v>3.6001184614815086E-2</v>
      </c>
      <c r="J12" s="349">
        <f>IF(ISNUMBER((Tasas!D12-Datos!BF12)/Datos!BF12),(Tasas!D12-Datos!BF12)/Datos!BF12," - ")</f>
        <v>-0.21370617212402196</v>
      </c>
      <c r="K12" s="351">
        <f>IF(ISNUMBER((Tasas!E12-Datos!BG12)/Datos!BG12),(Tasas!E12-Datos!BG12)/Datos!BG12," - ")</f>
        <v>2.4328249818445963E-2</v>
      </c>
      <c r="M12" t="e">
        <f>IF(Monitorios="SI",Datos!CE12,0)</f>
        <v>#REF!</v>
      </c>
      <c r="N12" t="e">
        <f>IF(Monitorios="SI",Datos!CF12,0)</f>
        <v>#REF!</v>
      </c>
      <c r="O12" t="e">
        <f>IF(Monitorios="SI",Datos!CG12,0)</f>
        <v>#REF!</v>
      </c>
      <c r="P12" t="e">
        <f>IF(Monitorios="SI",Datos!CH12,0)</f>
        <v>#REF!</v>
      </c>
      <c r="Q12">
        <f>IF(J_V="SI",0,Datos!AG12)</f>
        <v>66</v>
      </c>
      <c r="R12">
        <f>IF(J_V="SI",0,Datos!AH12)</f>
        <v>63</v>
      </c>
      <c r="S12">
        <f>IF(J_V="SI",0,Datos!AI12)</f>
        <v>62</v>
      </c>
      <c r="T12">
        <f>IF(J_V="SI",0,Datos!AJ12)</f>
        <v>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0.68292682926829273</v>
      </c>
      <c r="I13" s="357">
        <f>IF(ISNUMBER((Tasas!C13-Datos!BE13)/Datos!BE13),(Tasas!C13-Datos!BE13)/Datos!BE13," - ")</f>
        <v>2.5133099091908997E-2</v>
      </c>
      <c r="J13" s="355">
        <f>IF(ISNUMBER((Tasas!D13-Datos!BF13)/Datos!BF13),(Tasas!D13-Datos!BF13)/Datos!BF13," - ")</f>
        <v>-0.20745738093417923</v>
      </c>
      <c r="K13" s="358">
        <f>IF(ISNUMBER((Tasas!E13-Datos!BG13)/Datos!BG13),(Tasas!E13-Datos!BG13)/Datos!BG13," - ")</f>
        <v>1.6493636675982349E-2</v>
      </c>
      <c r="M13" t="e">
        <f>IF(Monitorios="SI",Datos!CE13,0)</f>
        <v>#REF!</v>
      </c>
      <c r="N13" t="e">
        <f>IF(Monitorios="SI",Datos!CF13,0)</f>
        <v>#REF!</v>
      </c>
      <c r="O13" t="e">
        <f>IF(Monitorios="SI",Datos!CG13,0)</f>
        <v>#REF!</v>
      </c>
      <c r="P13" t="e">
        <f>IF(Monitorios="SI",Datos!CH13,0)</f>
        <v>#REF!</v>
      </c>
      <c r="Q13">
        <f>IF(J_V="SI",0,Datos!AG13)</f>
        <v>66</v>
      </c>
      <c r="R13">
        <f>IF(J_V="SI",0,Datos!AH13)</f>
        <v>63</v>
      </c>
      <c r="S13">
        <f>IF(J_V="SI",0,Datos!AI13)</f>
        <v>62</v>
      </c>
      <c r="T13">
        <f>IF(J_V="SI",0,Datos!AJ13)</f>
        <v>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2.0454545454545454E-2</v>
      </c>
      <c r="E16" s="348">
        <f>IF(ISNUMBER(
   IF(D_I="SI",(Datos!J16-Datos!T16)/Datos!T16,(Datos!J16+Datos!AD16-(Datos!T16+Datos!AL16))/(Datos!T16+Datos!AL16))
     ),IF(D_I="SI",(Datos!J16-Datos!T16)/Datos!T16,(Datos!J16+Datos!AD16-(Datos!T16+Datos!AL16))/(Datos!T16+Datos!AL16))," - ")</f>
        <v>3.2051282051282048E-2</v>
      </c>
      <c r="F16" s="348">
        <f>IF(ISNUMBER(
   IF(D_I="SI",(Datos!K16-Datos!U16)/Datos!U16,(Datos!K16+Datos!AE16-(Datos!U16+Datos!AM16))/(Datos!U16+Datos!AM16))
     ),IF(D_I="SI",(Datos!K16-Datos!U16)/Datos!U16,(Datos!K16+Datos!AE16-(Datos!U16+Datos!AM16))/(Datos!U16+Datos!AM16))," - ")</f>
        <v>-4.3668122270742356E-2</v>
      </c>
      <c r="G16" s="349">
        <f>IF(ISNUMBER(
   IF(D_I="SI",(Datos!L16-Datos!V16)/Datos!V16,(Datos!L16+Datos!AF16-(Datos!V16+Datos!AN16))/(Datos!V16+Datos!AN16))
     ),IF(D_I="SI",(Datos!L16-Datos!V16)/Datos!V16,(Datos!L16+Datos!AF16-(Datos!V16+Datos!AN16))/(Datos!V16+Datos!AN16))," - ")</f>
        <v>6.6511085180863475E-2</v>
      </c>
      <c r="H16" s="230">
        <f>IF(ISNUMBER((Datos!M16-Datos!W16)/Datos!W16),(Datos!M16-Datos!W16)/Datos!W16," - ")</f>
        <v>-4.7619047619047616E-2</v>
      </c>
      <c r="I16" s="350">
        <f>IF(ISNUMBER((Tasas!C16-Datos!BE16)/Datos!BE16),(Tasas!C16-Datos!BE16)/Datos!BE16," - ")</f>
        <v>0.11521022149049193</v>
      </c>
      <c r="J16" s="349">
        <f>IF(ISNUMBER((Tasas!D16-Datos!BF16)/Datos!BF16),(Tasas!D16-Datos!BF16)/Datos!BF16," - ")</f>
        <v>-4.1313328984562891E-3</v>
      </c>
      <c r="K16" s="351">
        <f>IF(ISNUMBER((Tasas!E16-Datos!BG16)/Datos!BG16),(Tasas!E16-Datos!BG16)/Datos!BG16," - ")</f>
        <v>7.1693660460975875E-2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-0.32608695652173914</v>
      </c>
      <c r="E17" s="348">
        <f>IF(ISNUMBER(
   IF(D_I="SI",(Datos!J17-Datos!T17)/Datos!T17,(Datos!J17+Datos!AD17-(Datos!T17+Datos!AL17))/(Datos!T17+Datos!AL17))
     ),IF(D_I="SI",(Datos!J17-Datos!T17)/Datos!T17,(Datos!J17+Datos!AD17-(Datos!T17+Datos!AL17))/(Datos!T17+Datos!AL17))," - ")</f>
        <v>0.3235294117647059</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-6.8181818181818177E-2</v>
      </c>
      <c r="H17" s="230">
        <f>IF(ISNUMBER((Datos!M17-Datos!W17)/Datos!W17),(Datos!M17-Datos!W17)/Datos!W17," - ")</f>
        <v>0.6</v>
      </c>
      <c r="I17" s="350">
        <f>IF(ISNUMBER((Tasas!C17-Datos!BE17)/Datos!BE17),(Tasas!C17-Datos!BE17)/Datos!BE17," - ")</f>
        <v>-0.18465909090909097</v>
      </c>
      <c r="J17" s="349">
        <f>IF(ISNUMBER((Tasas!D17-Datos!BF17)/Datos!BF17),(Tasas!D17-Datos!BF17)/Datos!BF17," - ")</f>
        <v>0.4</v>
      </c>
      <c r="K17" s="351">
        <f>IF(ISNUMBER((Tasas!E17-Datos!BG17)/Datos!BG17),(Tasas!E17-Datos!BG17)/Datos!BG17," - ")</f>
        <v>-7.1271929824561417E-2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1.1627906976744186E-2</v>
      </c>
      <c r="E18" s="354">
        <f>IF(ISNUMBER(
   IF(D_I="SI",(Datos!J18-Datos!T18)/Datos!T18,(Datos!J18+Datos!AD18-(Datos!T18+Datos!AL18))/(Datos!T18+Datos!AL18))
     ),IF(D_I="SI",(Datos!J18-Datos!T18)/Datos!T18,(Datos!J18+Datos!AD18-(Datos!T18+Datos!AL18))/(Datos!T18+Datos!AL18))," - ")</f>
        <v>4.913793103448276E-2</v>
      </c>
      <c r="F18" s="354">
        <f>IF(ISNUMBER(
   IF(D_I="SI",(Datos!K18-Datos!U18)/Datos!U18,(Datos!K18+Datos!AE18-(Datos!U18+Datos!AM18))/(Datos!U18+Datos!AM18))
     ),IF(D_I="SI",(Datos!K18-Datos!U18)/Datos!U18,(Datos!K18+Datos!AE18-(Datos!U18+Datos!AM18))/(Datos!U18+Datos!AM18))," - ")</f>
        <v>-3.292181069958848E-2</v>
      </c>
      <c r="G18" s="355">
        <f>IF(ISNUMBER(
   IF(D_I="SI",(Datos!L18-Datos!V18)/Datos!V18,(Datos!L18+Datos!AF18-(Datos!V18+Datos!AN18))/(Datos!V18+Datos!AN18))
     ),IF(D_I="SI",(Datos!L18-Datos!V18)/Datos!V18,(Datos!L18+Datos!AF18-(Datos!V18+Datos!AN18))/(Datos!V18+Datos!AN18))," - ")</f>
        <v>6.313993174061433E-2</v>
      </c>
      <c r="H18" s="356">
        <f>IF(ISNUMBER((Datos!M18-Datos!W18)/Datos!W18),(Datos!M18-Datos!W18)/Datos!W18," - ")</f>
        <v>-8.130081300813009E-3</v>
      </c>
      <c r="I18" s="357">
        <f>IF(ISNUMBER((Tasas!C18-Datos!BE18)/Datos!BE18),(Tasas!C18-Datos!BE18)/Datos!BE18," - ")</f>
        <v>9.9331929416890549E-2</v>
      </c>
      <c r="J18" s="355">
        <f>IF(ISNUMBER((Tasas!D18-Datos!BF18)/Datos!BF18),(Tasas!D18-Datos!BF18)/Datos!BF18," - ")</f>
        <v>2.5635703165542294E-2</v>
      </c>
      <c r="K18" s="358">
        <f>IF(ISNUMBER((Tasas!E18-Datos!BG18)/Datos!BG18),(Tasas!E18-Datos!BG18)/Datos!BG18," - ")</f>
        <v>6.1235850274744971E-2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0.21120962634578846</v>
      </c>
      <c r="E19" s="363">
        <f>IF(ISNUMBER(
   IF(J_V="SI",(Datos!J19-Datos!T19)/Datos!T19,(Datos!J19+Datos!Z19-(Datos!T19+Datos!AH19))/(Datos!T19+Datos!AH19))
     ),IF(J_V="SI",(Datos!J19-Datos!T19)/Datos!T19,(Datos!J19+Datos!Z19-(Datos!T19+Datos!AH19))/(Datos!T19+Datos!AH19))," - ")</f>
        <v>2.6095519448547513E-2</v>
      </c>
      <c r="F19" s="363">
        <f>IF(ISNUMBER(
   IF(J_V="SI",(Datos!K19-Datos!U19)/Datos!U19,(Datos!K19+Datos!AA19-(Datos!U19+Datos!AI19))/(Datos!U19+Datos!AI19))
     ),IF(J_V="SI",(Datos!K19-Datos!U19)/Datos!U19,(Datos!K19+Datos!AA19-(Datos!U19+Datos!AI19))/(Datos!U19+Datos!AI19))," - ")</f>
        <v>6.6629955947136568E-2</v>
      </c>
      <c r="G19" s="364">
        <f>IF(ISNUMBER(
   IF(J_V="SI",(Datos!L19-Datos!V19)/Datos!V19,(Datos!L19+Datos!AB19-(Datos!V19+Datos!AJ19))/(Datos!V19+Datos!AJ19))
     ),IF(J_V="SI",(Datos!L19-Datos!V19)/Datos!V19,(Datos!L19+Datos!AB19-(Datos!V19+Datos!AJ19))/(Datos!V19+Datos!AJ19))," - ")</f>
        <v>0.17654028436018956</v>
      </c>
      <c r="H19" s="365">
        <f>IF(ISNUMBER((Datos!M19-Datos!W19)/Datos!W19),(Datos!M19-Datos!W19)/Datos!W19," - ")</f>
        <v>0.22222222222222221</v>
      </c>
      <c r="I19" s="362">
        <f>IF(ISNUMBER((Tasas!C19-Datos!BE19)/Datos!BE19),(Tasas!C19-Datos!BE19)/Datos!BE19," - ")</f>
        <v>0.10304447929690461</v>
      </c>
      <c r="J19" s="363">
        <f>IF(ISNUMBER((Tasas!D19-Datos!BF19)/Datos!BF19),(Tasas!D19-Datos!BF19)/Datos!BF19," - ")</f>
        <v>-6.454192003874247E-2</v>
      </c>
      <c r="K19" s="364">
        <f>IF(ISNUMBER((Tasas!E19-Datos!BG19)/Datos!BG19),(Tasas!E19-Datos!BG19)/Datos!BG19," - ")</f>
        <v>6.7619611120900036E-2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0.18350510721510382</v>
      </c>
      <c r="E21" s="278">
        <f t="shared" si="1"/>
        <v>0.26817172510908116</v>
      </c>
      <c r="F21" s="278">
        <f t="shared" si="1"/>
        <v>0.49637602449075724</v>
      </c>
      <c r="G21" s="279">
        <f t="shared" si="1"/>
        <v>6.3104415784465767E-2</v>
      </c>
      <c r="H21" s="285">
        <f t="shared" si="1"/>
        <v>0.41966061493845114</v>
      </c>
      <c r="I21" s="277">
        <f t="shared" si="1"/>
        <v>0.23093114976452547</v>
      </c>
      <c r="J21" s="278">
        <f t="shared" si="1"/>
        <v>0.22333075504143443</v>
      </c>
      <c r="K21" s="279">
        <f t="shared" si="1"/>
        <v>0.17458307126538813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Iu4twHnrLFsvB8vCRwO7i+h82HDIZQ3b+qzerbPVqMfGhy/2bdMFtrbRIJFkhArJTh2q1kAxDz/1pB9BK5pDQ==" saltValue="gS6A7DSHShHhhp8BhPzj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